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5"/>
  <workbookPr defaultThemeVersion="166925"/>
  <mc:AlternateContent xmlns:mc="http://schemas.openxmlformats.org/markup-compatibility/2006">
    <mc:Choice Requires="x15">
      <x15ac:absPath xmlns:x15ac="http://schemas.microsoft.com/office/spreadsheetml/2010/11/ac" url="C:\Users\rstewman\Desktop\"/>
    </mc:Choice>
  </mc:AlternateContent>
  <xr:revisionPtr revIDLastSave="0" documentId="8_{C129A7E8-F54F-4F4A-8A4C-335D90D43446}" xr6:coauthVersionLast="36" xr6:coauthVersionMax="36" xr10:uidLastSave="{00000000-0000-0000-0000-000000000000}"/>
  <bookViews>
    <workbookView xWindow="0" yWindow="0" windowWidth="19200" windowHeight="6930" xr2:uid="{00000000-000D-0000-FFFF-FFFF00000000}"/>
  </bookViews>
  <sheets>
    <sheet name="Directions" sheetId="1" r:id="rId1"/>
    <sheet name="K-M" sheetId="2" r:id="rId2"/>
    <sheet name="1-M" sheetId="3" r:id="rId3"/>
    <sheet name="2-M" sheetId="4" r:id="rId4"/>
    <sheet name="3-M" sheetId="5" r:id="rId5"/>
    <sheet name="4-M" sheetId="6" r:id="rId6"/>
    <sheet name="5-M" sheetId="7" r:id="rId7"/>
    <sheet name="Math E.S. Vertical Report" sheetId="8" r:id="rId8"/>
    <sheet name="ATC Math Reference" sheetId="9" r:id="rId9"/>
    <sheet name="Sheet10" sheetId="10" r:id="rId10"/>
  </sheets>
  <calcPr calcId="191029"/>
</workbook>
</file>

<file path=xl/calcChain.xml><?xml version="1.0" encoding="utf-8"?>
<calcChain xmlns="http://schemas.openxmlformats.org/spreadsheetml/2006/main">
  <c r="W2" i="9" l="1"/>
  <c r="T2" i="9"/>
  <c r="Q2" i="9"/>
  <c r="N2" i="9"/>
  <c r="K2" i="9"/>
  <c r="H2" i="9"/>
  <c r="E2" i="9"/>
  <c r="B2" i="9"/>
  <c r="J49" i="8"/>
  <c r="H49" i="8"/>
  <c r="G49" i="8"/>
  <c r="F49" i="8"/>
  <c r="E49" i="8"/>
  <c r="D49" i="8"/>
  <c r="C49" i="8"/>
  <c r="B49" i="8"/>
  <c r="J48" i="8"/>
  <c r="H48" i="8"/>
  <c r="G48" i="8"/>
  <c r="F48" i="8"/>
  <c r="E48" i="8"/>
  <c r="D48" i="8"/>
  <c r="C48" i="8"/>
  <c r="B48" i="8"/>
  <c r="J47" i="8"/>
  <c r="I47" i="8"/>
  <c r="H47" i="8"/>
  <c r="G47" i="8"/>
  <c r="F47" i="8"/>
  <c r="E47" i="8"/>
  <c r="D47" i="8"/>
  <c r="C47" i="8"/>
  <c r="B47" i="8"/>
  <c r="J46" i="8"/>
  <c r="H46" i="8"/>
  <c r="G46" i="8"/>
  <c r="F46" i="8"/>
  <c r="E46" i="8"/>
  <c r="D46" i="8"/>
  <c r="C46" i="8"/>
  <c r="B46" i="8"/>
  <c r="BC35" i="8"/>
  <c r="BA35" i="8"/>
  <c r="AZ35" i="8"/>
  <c r="AY35" i="8"/>
  <c r="AX35" i="8"/>
  <c r="AW35" i="8"/>
  <c r="AV35" i="8"/>
  <c r="AU35" i="8"/>
  <c r="AT35" i="8"/>
  <c r="AR35" i="8"/>
  <c r="AQ35" i="8"/>
  <c r="AP35" i="8"/>
  <c r="AO35" i="8"/>
  <c r="AN35" i="8"/>
  <c r="AM35" i="8"/>
  <c r="AL35" i="8"/>
  <c r="BC34" i="8"/>
  <c r="BA34" i="8"/>
  <c r="AZ34" i="8"/>
  <c r="AY34" i="8"/>
  <c r="AX34" i="8"/>
  <c r="AW34" i="8"/>
  <c r="AV34" i="8"/>
  <c r="AU34" i="8"/>
  <c r="AT34" i="8"/>
  <c r="AR34" i="8"/>
  <c r="AQ34" i="8"/>
  <c r="AP34" i="8"/>
  <c r="AO34" i="8"/>
  <c r="AN34" i="8"/>
  <c r="AM34" i="8"/>
  <c r="AL34" i="8"/>
  <c r="AK34" i="8"/>
  <c r="AI34" i="8"/>
  <c r="AH34" i="8"/>
  <c r="AG34" i="8"/>
  <c r="AF34" i="8"/>
  <c r="AE34" i="8"/>
  <c r="AD34" i="8"/>
  <c r="AC34" i="8"/>
  <c r="BC33" i="8"/>
  <c r="BA33" i="8"/>
  <c r="AZ33" i="8"/>
  <c r="AY33" i="8"/>
  <c r="AX33" i="8"/>
  <c r="AW33" i="8"/>
  <c r="AV33" i="8"/>
  <c r="AU33" i="8"/>
  <c r="AT33" i="8"/>
  <c r="AS33" i="8"/>
  <c r="AR33" i="8"/>
  <c r="AQ33" i="8"/>
  <c r="AP33" i="8"/>
  <c r="AO33" i="8"/>
  <c r="AN33" i="8"/>
  <c r="AM33" i="8"/>
  <c r="AL33" i="8"/>
  <c r="AK33" i="8"/>
  <c r="AI33" i="8"/>
  <c r="AH33" i="8"/>
  <c r="AG33" i="8"/>
  <c r="AF33" i="8"/>
  <c r="AE33" i="8"/>
  <c r="AD33" i="8"/>
  <c r="AC33" i="8"/>
  <c r="BC32" i="8"/>
  <c r="BB32" i="8"/>
  <c r="BA32" i="8"/>
  <c r="AZ32" i="8"/>
  <c r="AY32" i="8"/>
  <c r="AX32" i="8"/>
  <c r="AW32" i="8"/>
  <c r="AV32" i="8"/>
  <c r="AU32" i="8"/>
  <c r="AT32" i="8"/>
  <c r="AR32" i="8"/>
  <c r="AQ32" i="8"/>
  <c r="AP32" i="8"/>
  <c r="AO32" i="8"/>
  <c r="AN32" i="8"/>
  <c r="AM32" i="8"/>
  <c r="AL32" i="8"/>
  <c r="AK32" i="8"/>
  <c r="AJ32" i="8"/>
  <c r="AI32" i="8"/>
  <c r="AH32" i="8"/>
  <c r="AG32" i="8"/>
  <c r="AF32" i="8"/>
  <c r="AE32" i="8"/>
  <c r="AD32" i="8"/>
  <c r="AC32" i="8"/>
  <c r="AB29" i="8"/>
  <c r="Z29" i="8"/>
  <c r="Y29" i="8"/>
  <c r="X29" i="8"/>
  <c r="W29" i="8"/>
  <c r="V29" i="8"/>
  <c r="U29" i="8"/>
  <c r="T29" i="8"/>
  <c r="AK28" i="8"/>
  <c r="AI28" i="8"/>
  <c r="AH28" i="8"/>
  <c r="AG28" i="8"/>
  <c r="AF28" i="8"/>
  <c r="AE28" i="8"/>
  <c r="AD28" i="8"/>
  <c r="AC28" i="8"/>
  <c r="AB28" i="8"/>
  <c r="Z28" i="8"/>
  <c r="Y28" i="8"/>
  <c r="X28" i="8"/>
  <c r="W28" i="8"/>
  <c r="V28" i="8"/>
  <c r="U28" i="8"/>
  <c r="T28" i="8"/>
  <c r="S28" i="8"/>
  <c r="Q28" i="8"/>
  <c r="P28" i="8"/>
  <c r="O28" i="8"/>
  <c r="N28" i="8"/>
  <c r="M28" i="8"/>
  <c r="L28" i="8"/>
  <c r="K28" i="8"/>
  <c r="BC27" i="8"/>
  <c r="BA27" i="8"/>
  <c r="AZ27" i="8"/>
  <c r="AY27" i="8"/>
  <c r="AX27" i="8"/>
  <c r="AW27" i="8"/>
  <c r="AV27" i="8"/>
  <c r="AU27" i="8"/>
  <c r="AT27" i="8"/>
  <c r="AR27" i="8"/>
  <c r="AQ27" i="8"/>
  <c r="AP27" i="8"/>
  <c r="AO27" i="8"/>
  <c r="AN27" i="8"/>
  <c r="AM27" i="8"/>
  <c r="AL27" i="8"/>
  <c r="AK27" i="8"/>
  <c r="AI27" i="8"/>
  <c r="AH27" i="8"/>
  <c r="AG27" i="8"/>
  <c r="AF27" i="8"/>
  <c r="AE27" i="8"/>
  <c r="AD27" i="8"/>
  <c r="AC27" i="8"/>
  <c r="AB27" i="8"/>
  <c r="Z27" i="8"/>
  <c r="Y27" i="8"/>
  <c r="X27" i="8"/>
  <c r="W27" i="8"/>
  <c r="V27" i="8"/>
  <c r="U27" i="8"/>
  <c r="T27" i="8"/>
  <c r="S27" i="8"/>
  <c r="Q27" i="8"/>
  <c r="P27" i="8"/>
  <c r="O27" i="8"/>
  <c r="N27" i="8"/>
  <c r="M27" i="8"/>
  <c r="L27" i="8"/>
  <c r="K27" i="8"/>
  <c r="BC26" i="8"/>
  <c r="BB26" i="8"/>
  <c r="BA26" i="8"/>
  <c r="AZ26" i="8"/>
  <c r="AY26" i="8"/>
  <c r="AX26" i="8"/>
  <c r="AW26" i="8"/>
  <c r="AV26" i="8"/>
  <c r="AU26" i="8"/>
  <c r="AT26" i="8"/>
  <c r="AS26" i="8"/>
  <c r="AR26" i="8"/>
  <c r="AQ26" i="8"/>
  <c r="AP26" i="8"/>
  <c r="AO26" i="8"/>
  <c r="AN26" i="8"/>
  <c r="AM26" i="8"/>
  <c r="AL26" i="8"/>
  <c r="AK26" i="8"/>
  <c r="AJ26" i="8"/>
  <c r="AI26" i="8"/>
  <c r="AH26" i="8"/>
  <c r="AG26" i="8"/>
  <c r="AF26" i="8"/>
  <c r="AE26" i="8"/>
  <c r="AD26" i="8"/>
  <c r="AC26" i="8"/>
  <c r="AB26" i="8"/>
  <c r="AA26" i="8"/>
  <c r="Z26" i="8"/>
  <c r="Y26" i="8"/>
  <c r="X26" i="8"/>
  <c r="W26" i="8"/>
  <c r="V26" i="8"/>
  <c r="U26" i="8"/>
  <c r="T26" i="8"/>
  <c r="S26" i="8"/>
  <c r="R26" i="8"/>
  <c r="Q26" i="8"/>
  <c r="P26" i="8"/>
  <c r="O26" i="8"/>
  <c r="N26" i="8"/>
  <c r="M26" i="8"/>
  <c r="L26" i="8"/>
  <c r="K26" i="8"/>
  <c r="J26" i="8"/>
  <c r="I26" i="8"/>
  <c r="H26" i="8"/>
  <c r="G26" i="8"/>
  <c r="F26" i="8"/>
  <c r="E26" i="8"/>
  <c r="D26" i="8"/>
  <c r="C26" i="8"/>
  <c r="B26" i="8"/>
  <c r="BC20" i="8"/>
  <c r="BB20" i="8"/>
  <c r="BA20" i="8"/>
  <c r="AZ20" i="8"/>
  <c r="AY20" i="8"/>
  <c r="AX20" i="8"/>
  <c r="AW20" i="8"/>
  <c r="AV20" i="8"/>
  <c r="AU20" i="8"/>
  <c r="AK20" i="8"/>
  <c r="AI20" i="8"/>
  <c r="AH20" i="8"/>
  <c r="AG20" i="8"/>
  <c r="AF20" i="8"/>
  <c r="AE20" i="8"/>
  <c r="AD20" i="8"/>
  <c r="AC20" i="8"/>
  <c r="AB20" i="8"/>
  <c r="Z20" i="8"/>
  <c r="Y20" i="8"/>
  <c r="X20" i="8"/>
  <c r="W20" i="8"/>
  <c r="V20" i="8"/>
  <c r="U20" i="8"/>
  <c r="T20" i="8"/>
  <c r="BC19" i="8"/>
  <c r="BA19" i="8"/>
  <c r="AZ19" i="8"/>
  <c r="AY19" i="8"/>
  <c r="AX19" i="8"/>
  <c r="AW19" i="8"/>
  <c r="AV19" i="8"/>
  <c r="AU19" i="8"/>
  <c r="AT19" i="8"/>
  <c r="AS19" i="8"/>
  <c r="AR19" i="8"/>
  <c r="AQ19" i="8"/>
  <c r="AP19" i="8"/>
  <c r="AO19" i="8"/>
  <c r="AN19" i="8"/>
  <c r="AM19" i="8"/>
  <c r="AL19" i="8"/>
  <c r="AK19" i="8"/>
  <c r="AJ19" i="8"/>
  <c r="AI19" i="8"/>
  <c r="AH19" i="8"/>
  <c r="AG19" i="8"/>
  <c r="AF19" i="8"/>
  <c r="AE19" i="8"/>
  <c r="AD19" i="8"/>
  <c r="AC19" i="8"/>
  <c r="AB19" i="8"/>
  <c r="AA19" i="8"/>
  <c r="Z19" i="8"/>
  <c r="Y19" i="8"/>
  <c r="X19" i="8"/>
  <c r="W19" i="8"/>
  <c r="V19" i="8"/>
  <c r="U19" i="8"/>
  <c r="T19" i="8"/>
  <c r="S19" i="8"/>
  <c r="R19" i="8"/>
  <c r="Q19" i="8"/>
  <c r="P19" i="8"/>
  <c r="O19" i="8"/>
  <c r="N19" i="8"/>
  <c r="M19" i="8"/>
  <c r="L19" i="8"/>
  <c r="K19" i="8"/>
  <c r="J19" i="8"/>
  <c r="I19" i="8"/>
  <c r="H19" i="8"/>
  <c r="G19" i="8"/>
  <c r="F19" i="8"/>
  <c r="E19" i="8"/>
  <c r="D19" i="8"/>
  <c r="C19" i="8"/>
  <c r="B19" i="8"/>
  <c r="AB14" i="8"/>
  <c r="Z14" i="8"/>
  <c r="Y14" i="8"/>
  <c r="X14" i="8"/>
  <c r="W14" i="8"/>
  <c r="V14" i="8"/>
  <c r="U14" i="8"/>
  <c r="T14" i="8"/>
  <c r="J14" i="8"/>
  <c r="I14" i="8"/>
  <c r="H14" i="8"/>
  <c r="G14" i="8"/>
  <c r="F14" i="8"/>
  <c r="E14" i="8"/>
  <c r="D14" i="8"/>
  <c r="C14" i="8"/>
  <c r="B14" i="8"/>
  <c r="BC13" i="8"/>
  <c r="BA13" i="8"/>
  <c r="AZ13" i="8"/>
  <c r="AY13" i="8"/>
  <c r="AX13" i="8"/>
  <c r="AW13" i="8"/>
  <c r="AV13" i="8"/>
  <c r="AU13" i="8"/>
  <c r="AT13" i="8"/>
  <c r="AR13" i="8"/>
  <c r="AQ13" i="8"/>
  <c r="AP13" i="8"/>
  <c r="AO13" i="8"/>
  <c r="AN13" i="8"/>
  <c r="AM13" i="8"/>
  <c r="AL13" i="8"/>
  <c r="AK13" i="8"/>
  <c r="AI13" i="8"/>
  <c r="AH13" i="8"/>
  <c r="AG13" i="8"/>
  <c r="AF13" i="8"/>
  <c r="AE13" i="8"/>
  <c r="AD13" i="8"/>
  <c r="AC13" i="8"/>
  <c r="AB13" i="8"/>
  <c r="AA13" i="8"/>
  <c r="Z13" i="8"/>
  <c r="Y13" i="8"/>
  <c r="X13" i="8"/>
  <c r="W13" i="8"/>
  <c r="V13" i="8"/>
  <c r="U13" i="8"/>
  <c r="T13" i="8"/>
  <c r="S13" i="8"/>
  <c r="Q13" i="8"/>
  <c r="P13" i="8"/>
  <c r="O13" i="8"/>
  <c r="N13" i="8"/>
  <c r="M13" i="8"/>
  <c r="L13" i="8"/>
  <c r="K13" i="8"/>
  <c r="J13" i="8"/>
  <c r="H13" i="8"/>
  <c r="G13" i="8"/>
  <c r="F13" i="8"/>
  <c r="E13" i="8"/>
  <c r="D13" i="8"/>
  <c r="C13" i="8"/>
  <c r="B13" i="8"/>
  <c r="BC12" i="8"/>
  <c r="BB12" i="8"/>
  <c r="BA12" i="8"/>
  <c r="AZ12" i="8"/>
  <c r="AY12" i="8"/>
  <c r="AX12" i="8"/>
  <c r="AW12" i="8"/>
  <c r="AV12" i="8"/>
  <c r="AU12" i="8"/>
  <c r="AT12" i="8"/>
  <c r="AS12" i="8"/>
  <c r="AR12" i="8"/>
  <c r="AQ12" i="8"/>
  <c r="AP12" i="8"/>
  <c r="AO12" i="8"/>
  <c r="AN12" i="8"/>
  <c r="AM12" i="8"/>
  <c r="AL12" i="8"/>
  <c r="AK12" i="8"/>
  <c r="AJ12" i="8"/>
  <c r="AI12" i="8"/>
  <c r="AH12" i="8"/>
  <c r="AG12" i="8"/>
  <c r="AF12" i="8"/>
  <c r="AE12" i="8"/>
  <c r="AD12" i="8"/>
  <c r="AC12" i="8"/>
  <c r="AB12" i="8"/>
  <c r="Z12" i="8"/>
  <c r="Y12" i="8"/>
  <c r="X12" i="8"/>
  <c r="W12" i="8"/>
  <c r="V12" i="8"/>
  <c r="U12" i="8"/>
  <c r="T12" i="8"/>
  <c r="S12" i="8"/>
  <c r="R12" i="8"/>
  <c r="Q12" i="8"/>
  <c r="P12" i="8"/>
  <c r="O12" i="8"/>
  <c r="N12" i="8"/>
  <c r="M12" i="8"/>
  <c r="L12" i="8"/>
  <c r="K12" i="8"/>
  <c r="J12" i="8"/>
  <c r="H12" i="8"/>
  <c r="G12" i="8"/>
  <c r="F12" i="8"/>
  <c r="E12" i="8"/>
  <c r="D12" i="8"/>
  <c r="C12" i="8"/>
  <c r="B12" i="8"/>
  <c r="AB8" i="8"/>
  <c r="Z8" i="8"/>
  <c r="Y8" i="8"/>
  <c r="X8" i="8"/>
  <c r="W8" i="8"/>
  <c r="V8" i="8"/>
  <c r="U8" i="8"/>
  <c r="T8" i="8"/>
  <c r="AT7" i="8"/>
  <c r="AR7" i="8"/>
  <c r="AQ7" i="8"/>
  <c r="AP7" i="8"/>
  <c r="AO7" i="8"/>
  <c r="AN7" i="8"/>
  <c r="AM7" i="8"/>
  <c r="AL7" i="8"/>
  <c r="AB7" i="8"/>
  <c r="Z7" i="8"/>
  <c r="Y7" i="8"/>
  <c r="X7" i="8"/>
  <c r="W7" i="8"/>
  <c r="V7" i="8"/>
  <c r="U7" i="8"/>
  <c r="T7" i="8"/>
  <c r="S7" i="8"/>
  <c r="Q7" i="8"/>
  <c r="P7" i="8"/>
  <c r="O7" i="8"/>
  <c r="N7" i="8"/>
  <c r="M7" i="8"/>
  <c r="L7" i="8"/>
  <c r="K7" i="8"/>
  <c r="BC6" i="8"/>
  <c r="BA6" i="8"/>
  <c r="AZ6" i="8"/>
  <c r="AY6" i="8"/>
  <c r="AX6" i="8"/>
  <c r="AW6" i="8"/>
  <c r="AV6" i="8"/>
  <c r="AU6" i="8"/>
  <c r="AT6" i="8"/>
  <c r="AR6" i="8"/>
  <c r="AQ6" i="8"/>
  <c r="AP6" i="8"/>
  <c r="AO6" i="8"/>
  <c r="AN6" i="8"/>
  <c r="AM6" i="8"/>
  <c r="AL6" i="8"/>
  <c r="AB6" i="8"/>
  <c r="Z6" i="8"/>
  <c r="Y6" i="8"/>
  <c r="X6" i="8"/>
  <c r="W6" i="8"/>
  <c r="V6" i="8"/>
  <c r="U6" i="8"/>
  <c r="T6" i="8"/>
  <c r="S6" i="8"/>
  <c r="R6" i="8"/>
  <c r="Q6" i="8"/>
  <c r="P6" i="8"/>
  <c r="O6" i="8"/>
  <c r="N6" i="8"/>
  <c r="M6" i="8"/>
  <c r="L6" i="8"/>
  <c r="K6" i="8"/>
  <c r="BC5" i="8"/>
  <c r="BA5" i="8"/>
  <c r="AZ5" i="8"/>
  <c r="AY5" i="8"/>
  <c r="AX5" i="8"/>
  <c r="AW5" i="8"/>
  <c r="AV5" i="8"/>
  <c r="AU5" i="8"/>
  <c r="AT5" i="8"/>
  <c r="AR5" i="8"/>
  <c r="AQ5" i="8"/>
  <c r="AP5" i="8"/>
  <c r="AO5" i="8"/>
  <c r="AN5" i="8"/>
  <c r="AM5" i="8"/>
  <c r="AL5" i="8"/>
  <c r="AK5" i="8"/>
  <c r="AI5" i="8"/>
  <c r="AH5" i="8"/>
  <c r="AG5" i="8"/>
  <c r="AF5" i="8"/>
  <c r="AE5" i="8"/>
  <c r="AD5" i="8"/>
  <c r="AC5" i="8"/>
  <c r="AB5" i="8"/>
  <c r="AA5" i="8"/>
  <c r="Z5" i="8"/>
  <c r="Y5" i="8"/>
  <c r="X5" i="8"/>
  <c r="W5" i="8"/>
  <c r="V5" i="8"/>
  <c r="U5" i="8"/>
  <c r="T5" i="8"/>
  <c r="S5" i="8"/>
  <c r="Q5" i="8"/>
  <c r="P5" i="8"/>
  <c r="O5" i="8"/>
  <c r="N5" i="8"/>
  <c r="M5" i="8"/>
  <c r="L5" i="8"/>
  <c r="K5" i="8"/>
  <c r="BC4" i="8"/>
  <c r="BB4" i="8"/>
  <c r="BA4" i="8"/>
  <c r="AZ4" i="8"/>
  <c r="AY4" i="8"/>
  <c r="AX4" i="8"/>
  <c r="AW4" i="8"/>
  <c r="AV4" i="8"/>
  <c r="AU4" i="8"/>
  <c r="AT4" i="8"/>
  <c r="AS4" i="8"/>
  <c r="AR4" i="8"/>
  <c r="AQ4" i="8"/>
  <c r="AP4" i="8"/>
  <c r="AO4" i="8"/>
  <c r="AN4" i="8"/>
  <c r="AM4" i="8"/>
  <c r="AL4" i="8"/>
  <c r="AK4" i="8"/>
  <c r="AJ4" i="8"/>
  <c r="AI4" i="8"/>
  <c r="AH4" i="8"/>
  <c r="AG4" i="8"/>
  <c r="AF4" i="8"/>
  <c r="AE4" i="8"/>
  <c r="AD4" i="8"/>
  <c r="AC4" i="8"/>
  <c r="AB4" i="8"/>
  <c r="Z4" i="8"/>
  <c r="Y4" i="8"/>
  <c r="X4" i="8"/>
  <c r="W4" i="8"/>
  <c r="V4" i="8"/>
  <c r="U4" i="8"/>
  <c r="T4" i="8"/>
  <c r="S4" i="8"/>
  <c r="Q4" i="8"/>
  <c r="P4" i="8"/>
  <c r="O4" i="8"/>
  <c r="N4" i="8"/>
  <c r="M4" i="8"/>
  <c r="L4" i="8"/>
  <c r="K4" i="8"/>
  <c r="J4" i="8"/>
  <c r="H4" i="8"/>
  <c r="G4" i="8"/>
  <c r="F4" i="8"/>
  <c r="E4" i="8"/>
  <c r="D4" i="8"/>
  <c r="C4" i="8"/>
  <c r="B4" i="8"/>
  <c r="U86" i="7"/>
  <c r="T86" i="7"/>
  <c r="S86" i="7"/>
  <c r="R86" i="7"/>
  <c r="Q86" i="7"/>
  <c r="P86" i="7"/>
  <c r="O86" i="7"/>
  <c r="N86" i="7"/>
  <c r="M86" i="7"/>
  <c r="E86" i="7"/>
  <c r="U85" i="7"/>
  <c r="T85" i="7"/>
  <c r="S85" i="7"/>
  <c r="R85" i="7"/>
  <c r="Q85" i="7"/>
  <c r="P85" i="7"/>
  <c r="O85" i="7"/>
  <c r="N85" i="7"/>
  <c r="M85" i="7"/>
  <c r="K85" i="7"/>
  <c r="H85" i="7"/>
  <c r="G85" i="7"/>
  <c r="U84" i="7"/>
  <c r="T84" i="7"/>
  <c r="S84" i="7"/>
  <c r="R84" i="7"/>
  <c r="Q84" i="7"/>
  <c r="P84" i="7"/>
  <c r="O84" i="7"/>
  <c r="N84" i="7"/>
  <c r="M84" i="7"/>
  <c r="K84" i="7"/>
  <c r="T83" i="7"/>
  <c r="S83" i="7"/>
  <c r="H83" i="7"/>
  <c r="R83" i="7" s="1"/>
  <c r="F83" i="7"/>
  <c r="P83" i="7" s="1"/>
  <c r="E83" i="7"/>
  <c r="O83" i="7" s="1"/>
  <c r="T82" i="7"/>
  <c r="K82" i="7"/>
  <c r="U82" i="7" s="1"/>
  <c r="I82" i="7"/>
  <c r="S82" i="7" s="1"/>
  <c r="H82" i="7"/>
  <c r="R82" i="7" s="1"/>
  <c r="U81" i="7"/>
  <c r="T81" i="7"/>
  <c r="S81" i="7"/>
  <c r="R81" i="7"/>
  <c r="Q81" i="7"/>
  <c r="P81" i="7"/>
  <c r="O81" i="7"/>
  <c r="N81" i="7"/>
  <c r="M81" i="7"/>
  <c r="F81" i="7"/>
  <c r="D81" i="7"/>
  <c r="U80" i="7"/>
  <c r="T80" i="7"/>
  <c r="S80" i="7"/>
  <c r="R80" i="7"/>
  <c r="Q80" i="7"/>
  <c r="P80" i="7"/>
  <c r="O80" i="7"/>
  <c r="N80" i="7"/>
  <c r="M80" i="7"/>
  <c r="I80" i="7"/>
  <c r="H80" i="7"/>
  <c r="F80" i="7"/>
  <c r="U79" i="7"/>
  <c r="T79" i="7"/>
  <c r="S79" i="7"/>
  <c r="R79" i="7"/>
  <c r="Q79" i="7"/>
  <c r="P79" i="7"/>
  <c r="O79" i="7"/>
  <c r="N79" i="7"/>
  <c r="M79" i="7"/>
  <c r="D79" i="7"/>
  <c r="U78" i="7"/>
  <c r="T78" i="7"/>
  <c r="S78" i="7"/>
  <c r="R78" i="7"/>
  <c r="Q78" i="7"/>
  <c r="P78" i="7"/>
  <c r="O78" i="7"/>
  <c r="N78" i="7"/>
  <c r="M78" i="7"/>
  <c r="G78" i="7"/>
  <c r="F78" i="7"/>
  <c r="D78" i="7"/>
  <c r="U77" i="7"/>
  <c r="T77" i="7"/>
  <c r="S77" i="7"/>
  <c r="R77" i="7"/>
  <c r="Q77" i="7"/>
  <c r="P77" i="7"/>
  <c r="O77" i="7"/>
  <c r="N77" i="7"/>
  <c r="M77" i="7"/>
  <c r="I77" i="7"/>
  <c r="U76" i="7"/>
  <c r="T76" i="7"/>
  <c r="S76" i="7"/>
  <c r="R76" i="7"/>
  <c r="Q76" i="7"/>
  <c r="P76" i="7"/>
  <c r="O76" i="7"/>
  <c r="N76" i="7"/>
  <c r="M76" i="7"/>
  <c r="E76" i="7"/>
  <c r="D76" i="7"/>
  <c r="T75" i="7"/>
  <c r="K75" i="7"/>
  <c r="U75" i="7" s="1"/>
  <c r="U74" i="7"/>
  <c r="T74" i="7"/>
  <c r="S74" i="7"/>
  <c r="R74" i="7"/>
  <c r="Q74" i="7"/>
  <c r="P74" i="7"/>
  <c r="O74" i="7"/>
  <c r="N74" i="7"/>
  <c r="M74" i="7"/>
  <c r="E74" i="7"/>
  <c r="U73" i="7"/>
  <c r="T73" i="7"/>
  <c r="S73" i="7"/>
  <c r="R73" i="7"/>
  <c r="Q73" i="7"/>
  <c r="P73" i="7"/>
  <c r="O73" i="7"/>
  <c r="N73" i="7"/>
  <c r="M73" i="7"/>
  <c r="H73" i="7"/>
  <c r="T72" i="7"/>
  <c r="K72" i="7"/>
  <c r="U72" i="7" s="1"/>
  <c r="U71" i="7"/>
  <c r="T71" i="7"/>
  <c r="S71" i="7"/>
  <c r="R71" i="7"/>
  <c r="Q71" i="7"/>
  <c r="P71" i="7"/>
  <c r="O71" i="7"/>
  <c r="N71" i="7"/>
  <c r="M71" i="7"/>
  <c r="H71" i="7"/>
  <c r="F71" i="7"/>
  <c r="E71" i="7"/>
  <c r="U70" i="7"/>
  <c r="T70" i="7"/>
  <c r="S70" i="7"/>
  <c r="R70" i="7"/>
  <c r="Q70" i="7"/>
  <c r="P70" i="7"/>
  <c r="O70" i="7"/>
  <c r="N70" i="7"/>
  <c r="M70" i="7"/>
  <c r="K70" i="7"/>
  <c r="I70" i="7"/>
  <c r="H70" i="7"/>
  <c r="G70" i="7"/>
  <c r="U69" i="7"/>
  <c r="T69" i="7"/>
  <c r="S69" i="7"/>
  <c r="R69" i="7"/>
  <c r="Q69" i="7"/>
  <c r="P69" i="7"/>
  <c r="O69" i="7"/>
  <c r="N69" i="7"/>
  <c r="M69" i="7"/>
  <c r="F69" i="7"/>
  <c r="D69" i="7"/>
  <c r="U68" i="7"/>
  <c r="T68" i="7"/>
  <c r="S68" i="7"/>
  <c r="R68" i="7"/>
  <c r="Q68" i="7"/>
  <c r="P68" i="7"/>
  <c r="O68" i="7"/>
  <c r="N68" i="7"/>
  <c r="M68" i="7"/>
  <c r="I68" i="7"/>
  <c r="H68" i="7"/>
  <c r="F68" i="7"/>
  <c r="U67" i="7"/>
  <c r="T67" i="7"/>
  <c r="S67" i="7"/>
  <c r="R67" i="7"/>
  <c r="Q67" i="7"/>
  <c r="P67" i="7"/>
  <c r="O67" i="7"/>
  <c r="N67" i="7"/>
  <c r="M67" i="7"/>
  <c r="D67" i="7"/>
  <c r="U66" i="7"/>
  <c r="T66" i="7"/>
  <c r="S66" i="7"/>
  <c r="R66" i="7"/>
  <c r="Q66" i="7"/>
  <c r="P66" i="7"/>
  <c r="O66" i="7"/>
  <c r="N66" i="7"/>
  <c r="M66" i="7"/>
  <c r="F66" i="7"/>
  <c r="D66" i="7"/>
  <c r="U65" i="7"/>
  <c r="T65" i="7"/>
  <c r="S65" i="7"/>
  <c r="R65" i="7"/>
  <c r="Q65" i="7"/>
  <c r="P65" i="7"/>
  <c r="O65" i="7"/>
  <c r="N65" i="7"/>
  <c r="M65" i="7"/>
  <c r="I65" i="7"/>
  <c r="U64" i="7"/>
  <c r="T64" i="7"/>
  <c r="S64" i="7"/>
  <c r="R64" i="7"/>
  <c r="Q64" i="7"/>
  <c r="P64" i="7"/>
  <c r="O64" i="7"/>
  <c r="N64" i="7"/>
  <c r="M64" i="7"/>
  <c r="D64" i="7"/>
  <c r="U63" i="7"/>
  <c r="T63" i="7"/>
  <c r="S63" i="7"/>
  <c r="R63" i="7"/>
  <c r="Q63" i="7"/>
  <c r="P63" i="7"/>
  <c r="O63" i="7"/>
  <c r="N63" i="7"/>
  <c r="M63" i="7"/>
  <c r="U62" i="7"/>
  <c r="T62" i="7"/>
  <c r="S62" i="7"/>
  <c r="R62" i="7"/>
  <c r="Q62" i="7"/>
  <c r="P62" i="7"/>
  <c r="O62" i="7"/>
  <c r="N62" i="7"/>
  <c r="M62" i="7"/>
  <c r="E62" i="7"/>
  <c r="U61" i="7"/>
  <c r="T61" i="7"/>
  <c r="S61" i="7"/>
  <c r="R61" i="7"/>
  <c r="Q61" i="7"/>
  <c r="P61" i="7"/>
  <c r="O61" i="7"/>
  <c r="N61" i="7"/>
  <c r="M61" i="7"/>
  <c r="T60" i="7"/>
  <c r="K60" i="7"/>
  <c r="U60" i="7" s="1"/>
  <c r="U59" i="7"/>
  <c r="T59" i="7"/>
  <c r="S59" i="7"/>
  <c r="R59" i="7"/>
  <c r="Q59" i="7"/>
  <c r="P59" i="7"/>
  <c r="O59" i="7"/>
  <c r="N59" i="7"/>
  <c r="M59" i="7"/>
  <c r="I59" i="7"/>
  <c r="H59" i="7"/>
  <c r="C59" i="7" s="1"/>
  <c r="F59" i="7"/>
  <c r="E59" i="7"/>
  <c r="D59" i="7"/>
  <c r="T58" i="7"/>
  <c r="P58" i="7"/>
  <c r="N58" i="7"/>
  <c r="K58" i="7"/>
  <c r="U58" i="7" s="1"/>
  <c r="I58" i="7"/>
  <c r="S58" i="7" s="1"/>
  <c r="H58" i="7"/>
  <c r="R58" i="7" s="1"/>
  <c r="G58" i="7"/>
  <c r="Q58" i="7" s="1"/>
  <c r="F58" i="7"/>
  <c r="D58" i="7"/>
  <c r="U57" i="7"/>
  <c r="T57" i="7"/>
  <c r="S57" i="7"/>
  <c r="R57" i="7"/>
  <c r="Q57" i="7"/>
  <c r="P57" i="7"/>
  <c r="O57" i="7"/>
  <c r="N57" i="7"/>
  <c r="M57" i="7"/>
  <c r="G57" i="7"/>
  <c r="F57" i="7"/>
  <c r="D57" i="7"/>
  <c r="U56" i="7"/>
  <c r="T56" i="7"/>
  <c r="S56" i="7"/>
  <c r="R56" i="7"/>
  <c r="Q56" i="7"/>
  <c r="P56" i="7"/>
  <c r="O56" i="7"/>
  <c r="N56" i="7"/>
  <c r="M56" i="7"/>
  <c r="I56" i="7"/>
  <c r="H56" i="7"/>
  <c r="G56" i="7"/>
  <c r="F56" i="7"/>
  <c r="T55" i="7"/>
  <c r="O55" i="7"/>
  <c r="D55" i="7"/>
  <c r="N55" i="7" s="1"/>
  <c r="T54" i="7"/>
  <c r="U53" i="7"/>
  <c r="T53" i="7"/>
  <c r="S53" i="7"/>
  <c r="R53" i="7"/>
  <c r="Q53" i="7"/>
  <c r="P53" i="7"/>
  <c r="O53" i="7"/>
  <c r="N53" i="7"/>
  <c r="M53" i="7"/>
  <c r="K53" i="7"/>
  <c r="I53" i="7"/>
  <c r="U52" i="7"/>
  <c r="T52" i="7"/>
  <c r="S52" i="7"/>
  <c r="R52" i="7"/>
  <c r="Q52" i="7"/>
  <c r="P52" i="7"/>
  <c r="O52" i="7"/>
  <c r="N52" i="7"/>
  <c r="M52" i="7"/>
  <c r="E52" i="7"/>
  <c r="U51" i="7"/>
  <c r="T51" i="7"/>
  <c r="S51" i="7"/>
  <c r="R51" i="7"/>
  <c r="Q51" i="7"/>
  <c r="P51" i="7"/>
  <c r="O51" i="7"/>
  <c r="N51" i="7"/>
  <c r="M51" i="7"/>
  <c r="U50" i="7"/>
  <c r="T50" i="7"/>
  <c r="S50" i="7"/>
  <c r="R50" i="7"/>
  <c r="Q50" i="7"/>
  <c r="P50" i="7"/>
  <c r="O50" i="7"/>
  <c r="N50" i="7"/>
  <c r="M50" i="7"/>
  <c r="E50" i="7"/>
  <c r="U49" i="7"/>
  <c r="T49" i="7"/>
  <c r="S49" i="7"/>
  <c r="R49" i="7"/>
  <c r="Q49" i="7"/>
  <c r="P49" i="7"/>
  <c r="O49" i="7"/>
  <c r="N49" i="7"/>
  <c r="M49" i="7"/>
  <c r="U48" i="7"/>
  <c r="T48" i="7"/>
  <c r="S48" i="7"/>
  <c r="R48" i="7"/>
  <c r="Q48" i="7"/>
  <c r="P48" i="7"/>
  <c r="O48" i="7"/>
  <c r="N48" i="7"/>
  <c r="M48" i="7"/>
  <c r="K48" i="7"/>
  <c r="D48" i="7"/>
  <c r="H45" i="7"/>
  <c r="K45" i="7" s="1"/>
  <c r="D45" i="7"/>
  <c r="C43" i="7"/>
  <c r="F86" i="7" s="1"/>
  <c r="C42" i="7"/>
  <c r="C41" i="7"/>
  <c r="D84" i="7" s="1"/>
  <c r="C40" i="7"/>
  <c r="I83" i="7" s="1"/>
  <c r="C39" i="7"/>
  <c r="G82" i="7" s="1"/>
  <c r="Q82" i="7" s="1"/>
  <c r="C38" i="7"/>
  <c r="G81" i="7" s="1"/>
  <c r="C37" i="7"/>
  <c r="K80" i="7" s="1"/>
  <c r="C36" i="7"/>
  <c r="E79" i="7" s="1"/>
  <c r="C35" i="7"/>
  <c r="I78" i="7" s="1"/>
  <c r="C34" i="7"/>
  <c r="K77" i="7" s="1"/>
  <c r="C33" i="7"/>
  <c r="C32" i="7"/>
  <c r="C31" i="7"/>
  <c r="F74" i="7" s="1"/>
  <c r="C30" i="7"/>
  <c r="C29" i="7"/>
  <c r="D72" i="7" s="1"/>
  <c r="N72" i="7" s="1"/>
  <c r="C28" i="7"/>
  <c r="I71" i="7" s="1"/>
  <c r="C27" i="7"/>
  <c r="F70" i="7" s="1"/>
  <c r="C70" i="7" s="1"/>
  <c r="C26" i="7"/>
  <c r="G69" i="7" s="1"/>
  <c r="C25" i="7"/>
  <c r="K68" i="7" s="1"/>
  <c r="C24" i="7"/>
  <c r="E67" i="7" s="1"/>
  <c r="C23" i="7"/>
  <c r="I66" i="7" s="1"/>
  <c r="C22" i="7"/>
  <c r="K65" i="7" s="1"/>
  <c r="C21" i="7"/>
  <c r="C20" i="7"/>
  <c r="C19" i="7"/>
  <c r="F62" i="7" s="1"/>
  <c r="C18" i="7"/>
  <c r="C17" i="7"/>
  <c r="D60" i="7" s="1"/>
  <c r="N60" i="7" s="1"/>
  <c r="C16" i="7"/>
  <c r="G59" i="7" s="1"/>
  <c r="C15" i="7"/>
  <c r="E58" i="7" s="1"/>
  <c r="O58" i="7" s="1"/>
  <c r="C14" i="7"/>
  <c r="E57" i="7" s="1"/>
  <c r="C13" i="7"/>
  <c r="K56" i="7" s="1"/>
  <c r="C12" i="7"/>
  <c r="E55" i="7" s="1"/>
  <c r="C11" i="7"/>
  <c r="F54" i="7" s="1"/>
  <c r="C10" i="7"/>
  <c r="H53" i="7" s="1"/>
  <c r="C9" i="7"/>
  <c r="C8" i="7"/>
  <c r="C7" i="7"/>
  <c r="F50" i="7" s="1"/>
  <c r="C6" i="7"/>
  <c r="C5" i="7"/>
  <c r="I48" i="7" s="1"/>
  <c r="H4" i="7"/>
  <c r="T83" i="6"/>
  <c r="U82" i="6"/>
  <c r="T82" i="6"/>
  <c r="S82" i="6"/>
  <c r="R82" i="6"/>
  <c r="Q82" i="6"/>
  <c r="P82" i="6"/>
  <c r="O82" i="6"/>
  <c r="N82" i="6"/>
  <c r="M82" i="6"/>
  <c r="F82" i="6"/>
  <c r="U81" i="6"/>
  <c r="T81" i="6"/>
  <c r="S81" i="6"/>
  <c r="R81" i="6"/>
  <c r="Q81" i="6"/>
  <c r="P81" i="6"/>
  <c r="O81" i="6"/>
  <c r="N81" i="6"/>
  <c r="M81" i="6"/>
  <c r="U80" i="6"/>
  <c r="T80" i="6"/>
  <c r="S80" i="6"/>
  <c r="R80" i="6"/>
  <c r="Q80" i="6"/>
  <c r="P80" i="6"/>
  <c r="O80" i="6"/>
  <c r="N80" i="6"/>
  <c r="M80" i="6"/>
  <c r="G80" i="6"/>
  <c r="F80" i="6"/>
  <c r="D80" i="6"/>
  <c r="U79" i="6"/>
  <c r="T79" i="6"/>
  <c r="S79" i="6"/>
  <c r="R79" i="6"/>
  <c r="Q79" i="6"/>
  <c r="P79" i="6"/>
  <c r="O79" i="6"/>
  <c r="N79" i="6"/>
  <c r="M79" i="6"/>
  <c r="K79" i="6"/>
  <c r="I79" i="6"/>
  <c r="H79" i="6"/>
  <c r="G79" i="6"/>
  <c r="F79" i="6"/>
  <c r="C79" i="6" s="1"/>
  <c r="E79" i="6"/>
  <c r="U78" i="6"/>
  <c r="T78" i="6"/>
  <c r="S78" i="6"/>
  <c r="R78" i="6"/>
  <c r="Q78" i="6"/>
  <c r="P78" i="6"/>
  <c r="O78" i="6"/>
  <c r="N78" i="6"/>
  <c r="M78" i="6"/>
  <c r="E78" i="6"/>
  <c r="D78" i="6"/>
  <c r="T77" i="6"/>
  <c r="K77" i="6"/>
  <c r="U77" i="6" s="1"/>
  <c r="U76" i="6"/>
  <c r="T76" i="6"/>
  <c r="S76" i="6"/>
  <c r="R76" i="6"/>
  <c r="Q76" i="6"/>
  <c r="P76" i="6"/>
  <c r="O76" i="6"/>
  <c r="N76" i="6"/>
  <c r="M76" i="6"/>
  <c r="U75" i="6"/>
  <c r="T75" i="6"/>
  <c r="S75" i="6"/>
  <c r="R75" i="6"/>
  <c r="Q75" i="6"/>
  <c r="P75" i="6"/>
  <c r="O75" i="6"/>
  <c r="N75" i="6"/>
  <c r="M75" i="6"/>
  <c r="U74" i="6"/>
  <c r="T74" i="6"/>
  <c r="S74" i="6"/>
  <c r="R74" i="6"/>
  <c r="Q74" i="6"/>
  <c r="P74" i="6"/>
  <c r="O74" i="6"/>
  <c r="N74" i="6"/>
  <c r="M74" i="6"/>
  <c r="U73" i="6"/>
  <c r="T73" i="6"/>
  <c r="S73" i="6"/>
  <c r="R73" i="6"/>
  <c r="Q73" i="6"/>
  <c r="P73" i="6"/>
  <c r="O73" i="6"/>
  <c r="N73" i="6"/>
  <c r="M73" i="6"/>
  <c r="U72" i="6"/>
  <c r="T72" i="6"/>
  <c r="S72" i="6"/>
  <c r="R72" i="6"/>
  <c r="Q72" i="6"/>
  <c r="P72" i="6"/>
  <c r="O72" i="6"/>
  <c r="N72" i="6"/>
  <c r="M72" i="6"/>
  <c r="U71" i="6"/>
  <c r="T71" i="6"/>
  <c r="S71" i="6"/>
  <c r="R71" i="6"/>
  <c r="Q71" i="6"/>
  <c r="P71" i="6"/>
  <c r="O71" i="6"/>
  <c r="N71" i="6"/>
  <c r="M71" i="6"/>
  <c r="T70" i="6"/>
  <c r="H70" i="6"/>
  <c r="R70" i="6" s="1"/>
  <c r="U69" i="6"/>
  <c r="T69" i="6"/>
  <c r="S69" i="6"/>
  <c r="R69" i="6"/>
  <c r="Q69" i="6"/>
  <c r="P69" i="6"/>
  <c r="O69" i="6"/>
  <c r="N69" i="6"/>
  <c r="M69" i="6"/>
  <c r="U68" i="6"/>
  <c r="T68" i="6"/>
  <c r="S68" i="6"/>
  <c r="R68" i="6"/>
  <c r="Q68" i="6"/>
  <c r="P68" i="6"/>
  <c r="O68" i="6"/>
  <c r="N68" i="6"/>
  <c r="M68" i="6"/>
  <c r="G68" i="6"/>
  <c r="F68" i="6"/>
  <c r="E68" i="6"/>
  <c r="D68" i="6"/>
  <c r="U67" i="6"/>
  <c r="T67" i="6"/>
  <c r="S67" i="6"/>
  <c r="R67" i="6"/>
  <c r="Q67" i="6"/>
  <c r="P67" i="6"/>
  <c r="O67" i="6"/>
  <c r="N67" i="6"/>
  <c r="M67" i="6"/>
  <c r="K67" i="6"/>
  <c r="I67" i="6"/>
  <c r="H67" i="6"/>
  <c r="G67" i="6"/>
  <c r="F67" i="6"/>
  <c r="C67" i="6" s="1"/>
  <c r="E67" i="6"/>
  <c r="D67" i="6"/>
  <c r="U66" i="6"/>
  <c r="T66" i="6"/>
  <c r="S66" i="6"/>
  <c r="R66" i="6"/>
  <c r="Q66" i="6"/>
  <c r="P66" i="6"/>
  <c r="O66" i="6"/>
  <c r="N66" i="6"/>
  <c r="M66" i="6"/>
  <c r="K66" i="6"/>
  <c r="E66" i="6"/>
  <c r="D66" i="6"/>
  <c r="U65" i="6"/>
  <c r="T65" i="6"/>
  <c r="S65" i="6"/>
  <c r="R65" i="6"/>
  <c r="Q65" i="6"/>
  <c r="P65" i="6"/>
  <c r="O65" i="6"/>
  <c r="N65" i="6"/>
  <c r="M65" i="6"/>
  <c r="K65" i="6"/>
  <c r="I65" i="6"/>
  <c r="G65" i="6"/>
  <c r="U64" i="6"/>
  <c r="T64" i="6"/>
  <c r="S64" i="6"/>
  <c r="R64" i="6"/>
  <c r="Q64" i="6"/>
  <c r="P64" i="6"/>
  <c r="O64" i="6"/>
  <c r="N64" i="6"/>
  <c r="M64" i="6"/>
  <c r="T63" i="6"/>
  <c r="U62" i="6"/>
  <c r="T62" i="6"/>
  <c r="S62" i="6"/>
  <c r="R62" i="6"/>
  <c r="Q62" i="6"/>
  <c r="P62" i="6"/>
  <c r="O62" i="6"/>
  <c r="N62" i="6"/>
  <c r="M62" i="6"/>
  <c r="F62" i="6"/>
  <c r="U61" i="6"/>
  <c r="T61" i="6"/>
  <c r="S61" i="6"/>
  <c r="R61" i="6"/>
  <c r="Q61" i="6"/>
  <c r="P61" i="6"/>
  <c r="O61" i="6"/>
  <c r="N61" i="6"/>
  <c r="M61" i="6"/>
  <c r="E61" i="6"/>
  <c r="D61" i="6"/>
  <c r="U60" i="6"/>
  <c r="T60" i="6"/>
  <c r="S60" i="6"/>
  <c r="R60" i="6"/>
  <c r="Q60" i="6"/>
  <c r="P60" i="6"/>
  <c r="O60" i="6"/>
  <c r="N60" i="6"/>
  <c r="M60" i="6"/>
  <c r="K60" i="6"/>
  <c r="I60" i="6"/>
  <c r="H60" i="6"/>
  <c r="F60" i="6"/>
  <c r="U59" i="6"/>
  <c r="T59" i="6"/>
  <c r="S59" i="6"/>
  <c r="R59" i="6"/>
  <c r="Q59" i="6"/>
  <c r="P59" i="6"/>
  <c r="O59" i="6"/>
  <c r="N59" i="6"/>
  <c r="M59" i="6"/>
  <c r="K59" i="6"/>
  <c r="U58" i="6"/>
  <c r="T58" i="6"/>
  <c r="S58" i="6"/>
  <c r="R58" i="6"/>
  <c r="Q58" i="6"/>
  <c r="P58" i="6"/>
  <c r="O58" i="6"/>
  <c r="N58" i="6"/>
  <c r="M58" i="6"/>
  <c r="I58" i="6"/>
  <c r="F58" i="6"/>
  <c r="E58" i="6"/>
  <c r="D58" i="6"/>
  <c r="U57" i="6"/>
  <c r="T57" i="6"/>
  <c r="S57" i="6"/>
  <c r="R57" i="6"/>
  <c r="Q57" i="6"/>
  <c r="P57" i="6"/>
  <c r="O57" i="6"/>
  <c r="N57" i="6"/>
  <c r="M57" i="6"/>
  <c r="K57" i="6"/>
  <c r="I57" i="6"/>
  <c r="H57" i="6"/>
  <c r="D57" i="6"/>
  <c r="U56" i="6"/>
  <c r="T56" i="6"/>
  <c r="P56" i="6"/>
  <c r="O56" i="6"/>
  <c r="N56" i="6"/>
  <c r="I56" i="6"/>
  <c r="S56" i="6" s="1"/>
  <c r="H56" i="6"/>
  <c r="R56" i="6" s="1"/>
  <c r="G56" i="6"/>
  <c r="F56" i="6"/>
  <c r="E56" i="6"/>
  <c r="D56" i="6"/>
  <c r="U55" i="6"/>
  <c r="T55" i="6"/>
  <c r="S55" i="6"/>
  <c r="R55" i="6"/>
  <c r="Q55" i="6"/>
  <c r="P55" i="6"/>
  <c r="O55" i="6"/>
  <c r="N55" i="6"/>
  <c r="M55" i="6"/>
  <c r="K55" i="6"/>
  <c r="I55" i="6"/>
  <c r="H55" i="6"/>
  <c r="G55" i="6"/>
  <c r="F55" i="6"/>
  <c r="E55" i="6"/>
  <c r="D55" i="6"/>
  <c r="U54" i="6"/>
  <c r="T54" i="6"/>
  <c r="S54" i="6"/>
  <c r="R54" i="6"/>
  <c r="Q54" i="6"/>
  <c r="P54" i="6"/>
  <c r="O54" i="6"/>
  <c r="N54" i="6"/>
  <c r="M54" i="6"/>
  <c r="K54" i="6"/>
  <c r="G54" i="6"/>
  <c r="F54" i="6"/>
  <c r="E54" i="6"/>
  <c r="D54" i="6"/>
  <c r="U53" i="6"/>
  <c r="T53" i="6"/>
  <c r="S53" i="6"/>
  <c r="R53" i="6"/>
  <c r="Q53" i="6"/>
  <c r="P53" i="6"/>
  <c r="O53" i="6"/>
  <c r="N53" i="6"/>
  <c r="M53" i="6"/>
  <c r="T52" i="6"/>
  <c r="T51" i="6"/>
  <c r="E51" i="6"/>
  <c r="O51" i="6" s="1"/>
  <c r="T50" i="6"/>
  <c r="Q50" i="6"/>
  <c r="G50" i="6"/>
  <c r="U49" i="6"/>
  <c r="T49" i="6"/>
  <c r="S49" i="6"/>
  <c r="R49" i="6"/>
  <c r="Q49" i="6"/>
  <c r="P49" i="6"/>
  <c r="O49" i="6"/>
  <c r="N49" i="6"/>
  <c r="M49" i="6"/>
  <c r="H49" i="6"/>
  <c r="G49" i="6"/>
  <c r="F49" i="6"/>
  <c r="D49" i="6"/>
  <c r="U48" i="6"/>
  <c r="T48" i="6"/>
  <c r="S48" i="6"/>
  <c r="R48" i="6"/>
  <c r="Q48" i="6"/>
  <c r="P48" i="6"/>
  <c r="O48" i="6"/>
  <c r="N48" i="6"/>
  <c r="M48" i="6"/>
  <c r="U47" i="6"/>
  <c r="T47" i="6"/>
  <c r="S47" i="6"/>
  <c r="R47" i="6"/>
  <c r="Q47" i="6"/>
  <c r="P47" i="6"/>
  <c r="O47" i="6"/>
  <c r="N47" i="6"/>
  <c r="M47" i="6"/>
  <c r="I47" i="6"/>
  <c r="D47" i="6"/>
  <c r="K44" i="6"/>
  <c r="H44" i="6"/>
  <c r="D44" i="6"/>
  <c r="C42" i="6"/>
  <c r="C41" i="6"/>
  <c r="H82" i="6" s="1"/>
  <c r="C40" i="6"/>
  <c r="K81" i="6" s="1"/>
  <c r="C39" i="6"/>
  <c r="E80" i="6" s="1"/>
  <c r="C38" i="6"/>
  <c r="D79" i="6" s="1"/>
  <c r="C37" i="6"/>
  <c r="C36" i="6"/>
  <c r="C35" i="6"/>
  <c r="C34" i="6"/>
  <c r="C33" i="6"/>
  <c r="C32" i="6"/>
  <c r="C31" i="6"/>
  <c r="C30" i="6"/>
  <c r="C29" i="6"/>
  <c r="E70" i="6" s="1"/>
  <c r="O70" i="6" s="1"/>
  <c r="C28" i="6"/>
  <c r="I69" i="6" s="1"/>
  <c r="C27" i="6"/>
  <c r="K68" i="6" s="1"/>
  <c r="C26" i="6"/>
  <c r="C25" i="6"/>
  <c r="C24" i="6"/>
  <c r="C23" i="6"/>
  <c r="C22" i="6"/>
  <c r="C21" i="6"/>
  <c r="C20" i="6"/>
  <c r="C19" i="6"/>
  <c r="E60" i="6" s="1"/>
  <c r="C18" i="6"/>
  <c r="C17" i="6"/>
  <c r="K58" i="6" s="1"/>
  <c r="C16" i="6"/>
  <c r="G57" i="6" s="1"/>
  <c r="C15" i="6"/>
  <c r="K56" i="6" s="1"/>
  <c r="C14" i="6"/>
  <c r="C13" i="6"/>
  <c r="C12" i="6"/>
  <c r="C11" i="6"/>
  <c r="C10" i="6"/>
  <c r="D51" i="6" s="1"/>
  <c r="N51" i="6" s="1"/>
  <c r="C9" i="6"/>
  <c r="H50" i="6" s="1"/>
  <c r="R50" i="6" s="1"/>
  <c r="C8" i="6"/>
  <c r="C7" i="6"/>
  <c r="C6" i="6"/>
  <c r="C5" i="6"/>
  <c r="K47" i="6" s="1"/>
  <c r="H4" i="6"/>
  <c r="T88" i="5"/>
  <c r="U87" i="5"/>
  <c r="T87" i="5"/>
  <c r="S87" i="5"/>
  <c r="R87" i="5"/>
  <c r="Q87" i="5"/>
  <c r="P87" i="5"/>
  <c r="O87" i="5"/>
  <c r="N87" i="5"/>
  <c r="M87" i="5"/>
  <c r="F87" i="5"/>
  <c r="E87" i="5"/>
  <c r="D87" i="5"/>
  <c r="U86" i="5"/>
  <c r="T86" i="5"/>
  <c r="S86" i="5"/>
  <c r="R86" i="5"/>
  <c r="Q86" i="5"/>
  <c r="P86" i="5"/>
  <c r="O86" i="5"/>
  <c r="N86" i="5"/>
  <c r="M86" i="5"/>
  <c r="U85" i="5"/>
  <c r="T85" i="5"/>
  <c r="S85" i="5"/>
  <c r="R85" i="5"/>
  <c r="Q85" i="5"/>
  <c r="P85" i="5"/>
  <c r="O85" i="5"/>
  <c r="N85" i="5"/>
  <c r="M85" i="5"/>
  <c r="H85" i="5"/>
  <c r="T84" i="5"/>
  <c r="U83" i="5"/>
  <c r="T83" i="5"/>
  <c r="S83" i="5"/>
  <c r="R83" i="5"/>
  <c r="Q83" i="5"/>
  <c r="P83" i="5"/>
  <c r="O83" i="5"/>
  <c r="N83" i="5"/>
  <c r="M83" i="5"/>
  <c r="K83" i="5"/>
  <c r="I83" i="5"/>
  <c r="H83" i="5"/>
  <c r="F83" i="5"/>
  <c r="E83" i="5"/>
  <c r="D83" i="5"/>
  <c r="U82" i="5"/>
  <c r="T82" i="5"/>
  <c r="S82" i="5"/>
  <c r="R82" i="5"/>
  <c r="Q82" i="5"/>
  <c r="P82" i="5"/>
  <c r="O82" i="5"/>
  <c r="N82" i="5"/>
  <c r="M82" i="5"/>
  <c r="I82" i="5"/>
  <c r="U81" i="5"/>
  <c r="T81" i="5"/>
  <c r="S81" i="5"/>
  <c r="R81" i="5"/>
  <c r="Q81" i="5"/>
  <c r="P81" i="5"/>
  <c r="O81" i="5"/>
  <c r="N81" i="5"/>
  <c r="M81" i="5"/>
  <c r="U80" i="5"/>
  <c r="T80" i="5"/>
  <c r="S80" i="5"/>
  <c r="R80" i="5"/>
  <c r="Q80" i="5"/>
  <c r="P80" i="5"/>
  <c r="O80" i="5"/>
  <c r="N80" i="5"/>
  <c r="M80" i="5"/>
  <c r="U79" i="5"/>
  <c r="T79" i="5"/>
  <c r="S79" i="5"/>
  <c r="R79" i="5"/>
  <c r="Q79" i="5"/>
  <c r="P79" i="5"/>
  <c r="O79" i="5"/>
  <c r="N79" i="5"/>
  <c r="M79" i="5"/>
  <c r="U78" i="5"/>
  <c r="T78" i="5"/>
  <c r="S78" i="5"/>
  <c r="R78" i="5"/>
  <c r="Q78" i="5"/>
  <c r="P78" i="5"/>
  <c r="O78" i="5"/>
  <c r="N78" i="5"/>
  <c r="M78" i="5"/>
  <c r="D78" i="5"/>
  <c r="U77" i="5"/>
  <c r="T77" i="5"/>
  <c r="S77" i="5"/>
  <c r="R77" i="5"/>
  <c r="Q77" i="5"/>
  <c r="P77" i="5"/>
  <c r="O77" i="5"/>
  <c r="N77" i="5"/>
  <c r="M77" i="5"/>
  <c r="I77" i="5"/>
  <c r="F77" i="5"/>
  <c r="U76" i="5"/>
  <c r="T76" i="5"/>
  <c r="S76" i="5"/>
  <c r="R76" i="5"/>
  <c r="Q76" i="5"/>
  <c r="P76" i="5"/>
  <c r="O76" i="5"/>
  <c r="N76" i="5"/>
  <c r="M76" i="5"/>
  <c r="D76" i="5"/>
  <c r="U75" i="5"/>
  <c r="T75" i="5"/>
  <c r="S75" i="5"/>
  <c r="R75" i="5"/>
  <c r="Q75" i="5"/>
  <c r="P75" i="5"/>
  <c r="O75" i="5"/>
  <c r="N75" i="5"/>
  <c r="M75" i="5"/>
  <c r="I75" i="5"/>
  <c r="H75" i="5"/>
  <c r="G75" i="5"/>
  <c r="F75" i="5"/>
  <c r="E75" i="5"/>
  <c r="C75" i="5"/>
  <c r="T74" i="5"/>
  <c r="G74" i="5"/>
  <c r="Q74" i="5" s="1"/>
  <c r="U73" i="5"/>
  <c r="T73" i="5"/>
  <c r="S73" i="5"/>
  <c r="R73" i="5"/>
  <c r="Q73" i="5"/>
  <c r="P73" i="5"/>
  <c r="O73" i="5"/>
  <c r="N73" i="5"/>
  <c r="M73" i="5"/>
  <c r="H73" i="5"/>
  <c r="F73" i="5"/>
  <c r="D73" i="5"/>
  <c r="U72" i="5"/>
  <c r="T72" i="5"/>
  <c r="S72" i="5"/>
  <c r="R72" i="5"/>
  <c r="Q72" i="5"/>
  <c r="P72" i="5"/>
  <c r="O72" i="5"/>
  <c r="N72" i="5"/>
  <c r="M72" i="5"/>
  <c r="U71" i="5"/>
  <c r="T71" i="5"/>
  <c r="S71" i="5"/>
  <c r="R71" i="5"/>
  <c r="Q71" i="5"/>
  <c r="P71" i="5"/>
  <c r="O71" i="5"/>
  <c r="N71" i="5"/>
  <c r="M71" i="5"/>
  <c r="K71" i="5"/>
  <c r="I71" i="5"/>
  <c r="H71" i="5"/>
  <c r="C71" i="5" s="1"/>
  <c r="F71" i="5"/>
  <c r="E71" i="5"/>
  <c r="D71" i="5"/>
  <c r="U70" i="5"/>
  <c r="T70" i="5"/>
  <c r="S70" i="5"/>
  <c r="R70" i="5"/>
  <c r="Q70" i="5"/>
  <c r="P70" i="5"/>
  <c r="O70" i="5"/>
  <c r="N70" i="5"/>
  <c r="M70" i="5"/>
  <c r="K70" i="5"/>
  <c r="H70" i="5"/>
  <c r="F70" i="5"/>
  <c r="E70" i="5"/>
  <c r="D70" i="5"/>
  <c r="U69" i="5"/>
  <c r="T69" i="5"/>
  <c r="S69" i="5"/>
  <c r="R69" i="5"/>
  <c r="Q69" i="5"/>
  <c r="P69" i="5"/>
  <c r="O69" i="5"/>
  <c r="N69" i="5"/>
  <c r="M69" i="5"/>
  <c r="T68" i="5"/>
  <c r="U67" i="5"/>
  <c r="T67" i="5"/>
  <c r="S67" i="5"/>
  <c r="R67" i="5"/>
  <c r="Q67" i="5"/>
  <c r="P67" i="5"/>
  <c r="O67" i="5"/>
  <c r="N67" i="5"/>
  <c r="M67" i="5"/>
  <c r="F67" i="5"/>
  <c r="E67" i="5"/>
  <c r="U66" i="5"/>
  <c r="T66" i="5"/>
  <c r="S66" i="5"/>
  <c r="R66" i="5"/>
  <c r="Q66" i="5"/>
  <c r="P66" i="5"/>
  <c r="O66" i="5"/>
  <c r="N66" i="5"/>
  <c r="M66" i="5"/>
  <c r="K66" i="5"/>
  <c r="I66" i="5"/>
  <c r="F66" i="5"/>
  <c r="D66" i="5"/>
  <c r="U65" i="5"/>
  <c r="T65" i="5"/>
  <c r="K65" i="5"/>
  <c r="H65" i="5"/>
  <c r="R65" i="5" s="1"/>
  <c r="U64" i="5"/>
  <c r="T64" i="5"/>
  <c r="S64" i="5"/>
  <c r="R64" i="5"/>
  <c r="Q64" i="5"/>
  <c r="P64" i="5"/>
  <c r="O64" i="5"/>
  <c r="N64" i="5"/>
  <c r="M64" i="5"/>
  <c r="I64" i="5"/>
  <c r="E64" i="5"/>
  <c r="D64" i="5"/>
  <c r="U63" i="5"/>
  <c r="T63" i="5"/>
  <c r="S63" i="5"/>
  <c r="R63" i="5"/>
  <c r="Q63" i="5"/>
  <c r="P63" i="5"/>
  <c r="O63" i="5"/>
  <c r="N63" i="5"/>
  <c r="M63" i="5"/>
  <c r="K63" i="5"/>
  <c r="I63" i="5"/>
  <c r="H63" i="5"/>
  <c r="G63" i="5"/>
  <c r="C63" i="5" s="1"/>
  <c r="F63" i="5"/>
  <c r="E63" i="5"/>
  <c r="U62" i="5"/>
  <c r="T62" i="5"/>
  <c r="S62" i="5"/>
  <c r="R62" i="5"/>
  <c r="Q62" i="5"/>
  <c r="P62" i="5"/>
  <c r="O62" i="5"/>
  <c r="N62" i="5"/>
  <c r="M62" i="5"/>
  <c r="K62" i="5"/>
  <c r="T61" i="5"/>
  <c r="S61" i="5"/>
  <c r="Q61" i="5"/>
  <c r="P61" i="5"/>
  <c r="N61" i="5"/>
  <c r="K61" i="5"/>
  <c r="U61" i="5" s="1"/>
  <c r="H61" i="5"/>
  <c r="R61" i="5" s="1"/>
  <c r="G61" i="5"/>
  <c r="F61" i="5"/>
  <c r="E61" i="5"/>
  <c r="O61" i="5" s="1"/>
  <c r="D61" i="5"/>
  <c r="C61" i="5"/>
  <c r="M61" i="5" s="1"/>
  <c r="U60" i="5"/>
  <c r="T60" i="5"/>
  <c r="S60" i="5"/>
  <c r="R60" i="5"/>
  <c r="Q60" i="5"/>
  <c r="P60" i="5"/>
  <c r="O60" i="5"/>
  <c r="N60" i="5"/>
  <c r="M60" i="5"/>
  <c r="U59" i="5"/>
  <c r="T59" i="5"/>
  <c r="S59" i="5"/>
  <c r="R59" i="5"/>
  <c r="Q59" i="5"/>
  <c r="P59" i="5"/>
  <c r="O59" i="5"/>
  <c r="N59" i="5"/>
  <c r="M59" i="5"/>
  <c r="K59" i="5"/>
  <c r="I59" i="5"/>
  <c r="H59" i="5"/>
  <c r="F59" i="5"/>
  <c r="C59" i="5" s="1"/>
  <c r="E59" i="5"/>
  <c r="D59" i="5"/>
  <c r="U58" i="5"/>
  <c r="T58" i="5"/>
  <c r="S58" i="5"/>
  <c r="R58" i="5"/>
  <c r="Q58" i="5"/>
  <c r="P58" i="5"/>
  <c r="O58" i="5"/>
  <c r="N58" i="5"/>
  <c r="M58" i="5"/>
  <c r="K58" i="5"/>
  <c r="I58" i="5"/>
  <c r="H58" i="5"/>
  <c r="G58" i="5"/>
  <c r="F58" i="5"/>
  <c r="E58" i="5"/>
  <c r="T57" i="5"/>
  <c r="K57" i="5"/>
  <c r="U57" i="5" s="1"/>
  <c r="U56" i="5"/>
  <c r="T56" i="5"/>
  <c r="S56" i="5"/>
  <c r="R56" i="5"/>
  <c r="Q56" i="5"/>
  <c r="P56" i="5"/>
  <c r="O56" i="5"/>
  <c r="N56" i="5"/>
  <c r="M56" i="5"/>
  <c r="E56" i="5"/>
  <c r="U55" i="5"/>
  <c r="T55" i="5"/>
  <c r="S55" i="5"/>
  <c r="R55" i="5"/>
  <c r="Q55" i="5"/>
  <c r="P55" i="5"/>
  <c r="O55" i="5"/>
  <c r="N55" i="5"/>
  <c r="M55" i="5"/>
  <c r="H55" i="5"/>
  <c r="F55" i="5"/>
  <c r="D55" i="5"/>
  <c r="I54" i="5"/>
  <c r="D54" i="5"/>
  <c r="K53" i="5"/>
  <c r="E53" i="5"/>
  <c r="D53" i="5"/>
  <c r="K52" i="5"/>
  <c r="U51" i="5"/>
  <c r="T51" i="5"/>
  <c r="S51" i="5"/>
  <c r="R51" i="5"/>
  <c r="Q51" i="5"/>
  <c r="P51" i="5"/>
  <c r="O51" i="5"/>
  <c r="N51" i="5"/>
  <c r="M51" i="5"/>
  <c r="I51" i="5"/>
  <c r="G51" i="5"/>
  <c r="F51" i="5"/>
  <c r="E51" i="5"/>
  <c r="D51" i="5"/>
  <c r="U50" i="5"/>
  <c r="T50" i="5"/>
  <c r="K50" i="5"/>
  <c r="G50" i="5"/>
  <c r="Q50" i="5" s="1"/>
  <c r="F50" i="5"/>
  <c r="U49" i="5"/>
  <c r="T49" i="5"/>
  <c r="S49" i="5"/>
  <c r="R49" i="5"/>
  <c r="Q49" i="5"/>
  <c r="P49" i="5"/>
  <c r="O49" i="5"/>
  <c r="N49" i="5"/>
  <c r="M49" i="5"/>
  <c r="I49" i="5"/>
  <c r="G49" i="5"/>
  <c r="E49" i="5"/>
  <c r="D49" i="5"/>
  <c r="K46" i="5"/>
  <c r="H46" i="5"/>
  <c r="D46" i="5"/>
  <c r="C44" i="5"/>
  <c r="I88" i="5" s="1"/>
  <c r="S88" i="5" s="1"/>
  <c r="C43" i="5"/>
  <c r="K87" i="5" s="1"/>
  <c r="C42" i="5"/>
  <c r="G86" i="5" s="1"/>
  <c r="C41" i="5"/>
  <c r="I85" i="5" s="1"/>
  <c r="C40" i="5"/>
  <c r="C39" i="5"/>
  <c r="G83" i="5" s="1"/>
  <c r="C38" i="5"/>
  <c r="C37" i="5"/>
  <c r="C36" i="5"/>
  <c r="C35" i="5"/>
  <c r="C34" i="5"/>
  <c r="C33" i="5"/>
  <c r="C32" i="5"/>
  <c r="C31" i="5"/>
  <c r="K75" i="5" s="1"/>
  <c r="C30" i="5"/>
  <c r="I74" i="5" s="1"/>
  <c r="S74" i="5" s="1"/>
  <c r="C29" i="5"/>
  <c r="I73" i="5" s="1"/>
  <c r="C28" i="5"/>
  <c r="G72" i="5" s="1"/>
  <c r="C27" i="5"/>
  <c r="G71" i="5" s="1"/>
  <c r="C26" i="5"/>
  <c r="C25" i="5"/>
  <c r="G69" i="5" s="1"/>
  <c r="C24" i="5"/>
  <c r="D68" i="5" s="1"/>
  <c r="N68" i="5" s="1"/>
  <c r="C23" i="5"/>
  <c r="C22" i="5"/>
  <c r="C21" i="5"/>
  <c r="C20" i="5"/>
  <c r="G64" i="5" s="1"/>
  <c r="C19" i="5"/>
  <c r="D63" i="5" s="1"/>
  <c r="C18" i="5"/>
  <c r="C17" i="5"/>
  <c r="I61" i="5" s="1"/>
  <c r="C16" i="5"/>
  <c r="C15" i="5"/>
  <c r="G59" i="5" s="1"/>
  <c r="C14" i="5"/>
  <c r="D58" i="5" s="1"/>
  <c r="C13" i="5"/>
  <c r="C12" i="5"/>
  <c r="F56" i="5" s="1"/>
  <c r="C11" i="5"/>
  <c r="K55" i="5" s="1"/>
  <c r="C10" i="5"/>
  <c r="H54" i="5" s="1"/>
  <c r="C9" i="5"/>
  <c r="C8" i="5"/>
  <c r="H52" i="5" s="1"/>
  <c r="C7" i="5"/>
  <c r="K51" i="5" s="1"/>
  <c r="C6" i="5"/>
  <c r="E50" i="5" s="1"/>
  <c r="O50" i="5" s="1"/>
  <c r="C5" i="5"/>
  <c r="K49" i="5" s="1"/>
  <c r="H4" i="5"/>
  <c r="C68" i="4"/>
  <c r="C67" i="4"/>
  <c r="C66" i="4"/>
  <c r="K65" i="4"/>
  <c r="I65" i="4"/>
  <c r="H65" i="4"/>
  <c r="G65" i="4"/>
  <c r="F65" i="4"/>
  <c r="E65" i="4"/>
  <c r="D65" i="4"/>
  <c r="T64" i="4"/>
  <c r="U63" i="4"/>
  <c r="T63" i="4"/>
  <c r="S63" i="4"/>
  <c r="R63" i="4"/>
  <c r="Q63" i="4"/>
  <c r="P63" i="4"/>
  <c r="O63" i="4"/>
  <c r="N63" i="4"/>
  <c r="M63" i="4"/>
  <c r="T62" i="4"/>
  <c r="S62" i="4"/>
  <c r="P62" i="4"/>
  <c r="K62" i="4"/>
  <c r="U62" i="4" s="1"/>
  <c r="I62" i="4"/>
  <c r="H62" i="4"/>
  <c r="R62" i="4" s="1"/>
  <c r="G62" i="4"/>
  <c r="Q62" i="4" s="1"/>
  <c r="F62" i="4"/>
  <c r="E62" i="4"/>
  <c r="O62" i="4" s="1"/>
  <c r="T61" i="4"/>
  <c r="K61" i="4"/>
  <c r="U61" i="4" s="1"/>
  <c r="H61" i="4"/>
  <c r="R61" i="4" s="1"/>
  <c r="U60" i="4"/>
  <c r="T60" i="4"/>
  <c r="S60" i="4"/>
  <c r="R60" i="4"/>
  <c r="Q60" i="4"/>
  <c r="P60" i="4"/>
  <c r="O60" i="4"/>
  <c r="N60" i="4"/>
  <c r="M60" i="4"/>
  <c r="K60" i="4"/>
  <c r="E60" i="4"/>
  <c r="U59" i="4"/>
  <c r="T59" i="4"/>
  <c r="S59" i="4"/>
  <c r="R59" i="4"/>
  <c r="Q59" i="4"/>
  <c r="P59" i="4"/>
  <c r="O59" i="4"/>
  <c r="N59" i="4"/>
  <c r="M59" i="4"/>
  <c r="K59" i="4"/>
  <c r="I59" i="4"/>
  <c r="E59" i="4"/>
  <c r="D59" i="4"/>
  <c r="U58" i="4"/>
  <c r="T58" i="4"/>
  <c r="S58" i="4"/>
  <c r="R58" i="4"/>
  <c r="Q58" i="4"/>
  <c r="P58" i="4"/>
  <c r="O58" i="4"/>
  <c r="N58" i="4"/>
  <c r="M58" i="4"/>
  <c r="U57" i="4"/>
  <c r="T57" i="4"/>
  <c r="S57" i="4"/>
  <c r="R57" i="4"/>
  <c r="Q57" i="4"/>
  <c r="P57" i="4"/>
  <c r="O57" i="4"/>
  <c r="N57" i="4"/>
  <c r="M57" i="4"/>
  <c r="U56" i="4"/>
  <c r="T56" i="4"/>
  <c r="S56" i="4"/>
  <c r="R56" i="4"/>
  <c r="Q56" i="4"/>
  <c r="P56" i="4"/>
  <c r="O56" i="4"/>
  <c r="N56" i="4"/>
  <c r="M56" i="4"/>
  <c r="U55" i="4"/>
  <c r="T55" i="4"/>
  <c r="S55" i="4"/>
  <c r="R55" i="4"/>
  <c r="Q55" i="4"/>
  <c r="P55" i="4"/>
  <c r="O55" i="4"/>
  <c r="N55" i="4"/>
  <c r="M55" i="4"/>
  <c r="K55" i="4"/>
  <c r="I55" i="4"/>
  <c r="H55" i="4"/>
  <c r="G55" i="4"/>
  <c r="F55" i="4"/>
  <c r="E55" i="4"/>
  <c r="D55" i="4"/>
  <c r="T54" i="4"/>
  <c r="K54" i="4"/>
  <c r="U54" i="4" s="1"/>
  <c r="F54" i="4"/>
  <c r="U53" i="4"/>
  <c r="T53" i="4"/>
  <c r="S53" i="4"/>
  <c r="R53" i="4"/>
  <c r="Q53" i="4"/>
  <c r="P53" i="4"/>
  <c r="O53" i="4"/>
  <c r="N53" i="4"/>
  <c r="M53" i="4"/>
  <c r="K53" i="4"/>
  <c r="U52" i="4"/>
  <c r="T52" i="4"/>
  <c r="S52" i="4"/>
  <c r="R52" i="4"/>
  <c r="Q52" i="4"/>
  <c r="P52" i="4"/>
  <c r="O52" i="4"/>
  <c r="N52" i="4"/>
  <c r="M52" i="4"/>
  <c r="I52" i="4"/>
  <c r="G52" i="4"/>
  <c r="T51" i="4"/>
  <c r="U50" i="4"/>
  <c r="T50" i="4"/>
  <c r="S50" i="4"/>
  <c r="R50" i="4"/>
  <c r="Q50" i="4"/>
  <c r="P50" i="4"/>
  <c r="O50" i="4"/>
  <c r="N50" i="4"/>
  <c r="M50" i="4"/>
  <c r="K50" i="4"/>
  <c r="I50" i="4"/>
  <c r="H50" i="4"/>
  <c r="G50" i="4"/>
  <c r="F50" i="4"/>
  <c r="E50" i="4"/>
  <c r="C50" i="4"/>
  <c r="U49" i="4"/>
  <c r="T49" i="4"/>
  <c r="S49" i="4"/>
  <c r="R49" i="4"/>
  <c r="Q49" i="4"/>
  <c r="P49" i="4"/>
  <c r="O49" i="4"/>
  <c r="N49" i="4"/>
  <c r="M49" i="4"/>
  <c r="H49" i="4"/>
  <c r="G49" i="4"/>
  <c r="F49" i="4"/>
  <c r="T48" i="4"/>
  <c r="K48" i="4"/>
  <c r="U48" i="4" s="1"/>
  <c r="G48" i="4"/>
  <c r="Q48" i="4" s="1"/>
  <c r="F48" i="4"/>
  <c r="D48" i="4"/>
  <c r="N48" i="4" s="1"/>
  <c r="U47" i="4"/>
  <c r="T47" i="4"/>
  <c r="S47" i="4"/>
  <c r="R47" i="4"/>
  <c r="Q47" i="4"/>
  <c r="P47" i="4"/>
  <c r="O47" i="4"/>
  <c r="N47" i="4"/>
  <c r="M47" i="4"/>
  <c r="I47" i="4"/>
  <c r="H47" i="4"/>
  <c r="F47" i="4"/>
  <c r="E47" i="4"/>
  <c r="U46" i="4"/>
  <c r="T46" i="4"/>
  <c r="S46" i="4"/>
  <c r="R46" i="4"/>
  <c r="Q46" i="4"/>
  <c r="P46" i="4"/>
  <c r="O46" i="4"/>
  <c r="N46" i="4"/>
  <c r="M46" i="4"/>
  <c r="T45" i="4"/>
  <c r="U44" i="4"/>
  <c r="T44" i="4"/>
  <c r="S44" i="4"/>
  <c r="R44" i="4"/>
  <c r="Q44" i="4"/>
  <c r="P44" i="4"/>
  <c r="O44" i="4"/>
  <c r="N44" i="4"/>
  <c r="M44" i="4"/>
  <c r="D44" i="4"/>
  <c r="T43" i="4"/>
  <c r="N43" i="4"/>
  <c r="K43" i="4"/>
  <c r="U43" i="4" s="1"/>
  <c r="I43" i="4"/>
  <c r="S43" i="4" s="1"/>
  <c r="H43" i="4"/>
  <c r="R43" i="4" s="1"/>
  <c r="G43" i="4"/>
  <c r="Q43" i="4" s="1"/>
  <c r="F43" i="4"/>
  <c r="E43" i="4"/>
  <c r="O43" i="4" s="1"/>
  <c r="D43" i="4"/>
  <c r="U42" i="4"/>
  <c r="T42" i="4"/>
  <c r="S42" i="4"/>
  <c r="R42" i="4"/>
  <c r="Q42" i="4"/>
  <c r="P42" i="4"/>
  <c r="O42" i="4"/>
  <c r="N42" i="4"/>
  <c r="M42" i="4"/>
  <c r="U41" i="4"/>
  <c r="T41" i="4"/>
  <c r="S41" i="4"/>
  <c r="R41" i="4"/>
  <c r="Q41" i="4"/>
  <c r="P41" i="4"/>
  <c r="O41" i="4"/>
  <c r="N41" i="4"/>
  <c r="M41" i="4"/>
  <c r="D41" i="4"/>
  <c r="U40" i="4"/>
  <c r="T40" i="4"/>
  <c r="K40" i="4"/>
  <c r="H40" i="4"/>
  <c r="R40" i="4" s="1"/>
  <c r="G40" i="4"/>
  <c r="Q40" i="4" s="1"/>
  <c r="E40" i="4"/>
  <c r="O40" i="4" s="1"/>
  <c r="D40" i="4"/>
  <c r="N40" i="4" s="1"/>
  <c r="U39" i="4"/>
  <c r="T39" i="4"/>
  <c r="S39" i="4"/>
  <c r="R39" i="4"/>
  <c r="Q39" i="4"/>
  <c r="P39" i="4"/>
  <c r="O39" i="4"/>
  <c r="N39" i="4"/>
  <c r="M39" i="4"/>
  <c r="K39" i="4"/>
  <c r="I39" i="4"/>
  <c r="H39" i="4"/>
  <c r="G39" i="4"/>
  <c r="U38" i="4"/>
  <c r="T38" i="4"/>
  <c r="S38" i="4"/>
  <c r="R38" i="4"/>
  <c r="Q38" i="4"/>
  <c r="P38" i="4"/>
  <c r="O38" i="4"/>
  <c r="N38" i="4"/>
  <c r="M38" i="4"/>
  <c r="K38" i="4"/>
  <c r="I38" i="4"/>
  <c r="H38" i="4"/>
  <c r="G38" i="4"/>
  <c r="F38" i="4"/>
  <c r="E38" i="4"/>
  <c r="C38" i="4"/>
  <c r="T37" i="4"/>
  <c r="S37" i="4"/>
  <c r="F37" i="4"/>
  <c r="P37" i="4" s="1"/>
  <c r="E37" i="4"/>
  <c r="O37" i="4" s="1"/>
  <c r="D37" i="4"/>
  <c r="N37" i="4" s="1"/>
  <c r="H34" i="4"/>
  <c r="K34" i="4" s="1"/>
  <c r="D34" i="4"/>
  <c r="C32" i="4"/>
  <c r="C31" i="4"/>
  <c r="G63" i="4" s="1"/>
  <c r="C30" i="4"/>
  <c r="D62" i="4" s="1"/>
  <c r="N62" i="4" s="1"/>
  <c r="C29" i="4"/>
  <c r="G61" i="4" s="1"/>
  <c r="Q61" i="4" s="1"/>
  <c r="C28" i="4"/>
  <c r="C27" i="4"/>
  <c r="C26" i="4"/>
  <c r="C25" i="4"/>
  <c r="C24" i="4"/>
  <c r="C23" i="4"/>
  <c r="C22" i="4"/>
  <c r="C21" i="4"/>
  <c r="I53" i="4" s="1"/>
  <c r="C20" i="4"/>
  <c r="C19" i="4"/>
  <c r="D51" i="4" s="1"/>
  <c r="N51" i="4" s="1"/>
  <c r="C18" i="4"/>
  <c r="D50" i="4" s="1"/>
  <c r="C17" i="4"/>
  <c r="K49" i="4" s="1"/>
  <c r="C16" i="4"/>
  <c r="C15" i="4"/>
  <c r="C14" i="4"/>
  <c r="I46" i="4" s="1"/>
  <c r="C13" i="4"/>
  <c r="C12" i="4"/>
  <c r="E44" i="4" s="1"/>
  <c r="C11" i="4"/>
  <c r="C10" i="4"/>
  <c r="I42" i="4" s="1"/>
  <c r="C9" i="4"/>
  <c r="I41" i="4" s="1"/>
  <c r="C8" i="4"/>
  <c r="F40" i="4" s="1"/>
  <c r="P40" i="4" s="1"/>
  <c r="C7" i="4"/>
  <c r="F39" i="4" s="1"/>
  <c r="C6" i="4"/>
  <c r="D38" i="4" s="1"/>
  <c r="C5" i="4"/>
  <c r="I37" i="4" s="1"/>
  <c r="U56" i="3"/>
  <c r="T56" i="3"/>
  <c r="S56" i="3"/>
  <c r="R56" i="3"/>
  <c r="Q56" i="3"/>
  <c r="P56" i="3"/>
  <c r="O56" i="3"/>
  <c r="N56" i="3"/>
  <c r="M56" i="3"/>
  <c r="D56" i="3"/>
  <c r="T55" i="3"/>
  <c r="I55" i="3"/>
  <c r="S55" i="3" s="1"/>
  <c r="H55" i="3"/>
  <c r="R55" i="3" s="1"/>
  <c r="G55" i="3"/>
  <c r="Q55" i="3" s="1"/>
  <c r="E55" i="3"/>
  <c r="O55" i="3" s="1"/>
  <c r="T54" i="3"/>
  <c r="K54" i="3"/>
  <c r="U54" i="3" s="1"/>
  <c r="I54" i="3"/>
  <c r="S54" i="3" s="1"/>
  <c r="U53" i="3"/>
  <c r="T53" i="3"/>
  <c r="S53" i="3"/>
  <c r="R53" i="3"/>
  <c r="Q53" i="3"/>
  <c r="P53" i="3"/>
  <c r="O53" i="3"/>
  <c r="N53" i="3"/>
  <c r="M53" i="3"/>
  <c r="K53" i="3"/>
  <c r="I53" i="3"/>
  <c r="H53" i="3"/>
  <c r="G53" i="3"/>
  <c r="F53" i="3"/>
  <c r="E53" i="3"/>
  <c r="C53" i="3"/>
  <c r="U52" i="3"/>
  <c r="T52" i="3"/>
  <c r="S52" i="3"/>
  <c r="R52" i="3"/>
  <c r="Q52" i="3"/>
  <c r="P52" i="3"/>
  <c r="O52" i="3"/>
  <c r="N52" i="3"/>
  <c r="M52" i="3"/>
  <c r="H52" i="3"/>
  <c r="G52" i="3"/>
  <c r="F52" i="3"/>
  <c r="E52" i="3"/>
  <c r="U51" i="3"/>
  <c r="T51" i="3"/>
  <c r="S51" i="3"/>
  <c r="R51" i="3"/>
  <c r="Q51" i="3"/>
  <c r="P51" i="3"/>
  <c r="O51" i="3"/>
  <c r="N51" i="3"/>
  <c r="M51" i="3"/>
  <c r="K51" i="3"/>
  <c r="I51" i="3"/>
  <c r="H51" i="3"/>
  <c r="F51" i="3"/>
  <c r="C51" i="3" s="1"/>
  <c r="E51" i="3"/>
  <c r="D51" i="3"/>
  <c r="U50" i="3"/>
  <c r="T50" i="3"/>
  <c r="S50" i="3"/>
  <c r="R50" i="3"/>
  <c r="Q50" i="3"/>
  <c r="P50" i="3"/>
  <c r="O50" i="3"/>
  <c r="N50" i="3"/>
  <c r="M50" i="3"/>
  <c r="K50" i="3"/>
  <c r="I50" i="3"/>
  <c r="E50" i="3"/>
  <c r="D50" i="3"/>
  <c r="U49" i="3"/>
  <c r="T49" i="3"/>
  <c r="S49" i="3"/>
  <c r="R49" i="3"/>
  <c r="Q49" i="3"/>
  <c r="P49" i="3"/>
  <c r="O49" i="3"/>
  <c r="N49" i="3"/>
  <c r="M49" i="3"/>
  <c r="I49" i="3"/>
  <c r="H49" i="3"/>
  <c r="G49" i="3"/>
  <c r="U48" i="3"/>
  <c r="T48" i="3"/>
  <c r="S48" i="3"/>
  <c r="R48" i="3"/>
  <c r="Q48" i="3"/>
  <c r="P48" i="3"/>
  <c r="O48" i="3"/>
  <c r="N48" i="3"/>
  <c r="M48" i="3"/>
  <c r="T47" i="3"/>
  <c r="D47" i="3"/>
  <c r="N47" i="3" s="1"/>
  <c r="U46" i="3"/>
  <c r="T46" i="3"/>
  <c r="S46" i="3"/>
  <c r="R46" i="3"/>
  <c r="Q46" i="3"/>
  <c r="P46" i="3"/>
  <c r="O46" i="3"/>
  <c r="N46" i="3"/>
  <c r="M46" i="3"/>
  <c r="I46" i="3"/>
  <c r="H46" i="3"/>
  <c r="U45" i="3"/>
  <c r="T45" i="3"/>
  <c r="S45" i="3"/>
  <c r="R45" i="3"/>
  <c r="Q45" i="3"/>
  <c r="P45" i="3"/>
  <c r="O45" i="3"/>
  <c r="N45" i="3"/>
  <c r="M45" i="3"/>
  <c r="U44" i="3"/>
  <c r="T44" i="3"/>
  <c r="S44" i="3"/>
  <c r="R44" i="3"/>
  <c r="Q44" i="3"/>
  <c r="P44" i="3"/>
  <c r="O44" i="3"/>
  <c r="N44" i="3"/>
  <c r="M44" i="3"/>
  <c r="G44" i="3"/>
  <c r="F44" i="3"/>
  <c r="E44" i="3"/>
  <c r="D44" i="3"/>
  <c r="U43" i="3"/>
  <c r="T43" i="3"/>
  <c r="S43" i="3"/>
  <c r="R43" i="3"/>
  <c r="Q43" i="3"/>
  <c r="P43" i="3"/>
  <c r="O43" i="3"/>
  <c r="N43" i="3"/>
  <c r="M43" i="3"/>
  <c r="K43" i="3"/>
  <c r="I43" i="3"/>
  <c r="H43" i="3"/>
  <c r="U42" i="3"/>
  <c r="T42" i="3"/>
  <c r="S42" i="3"/>
  <c r="R42" i="3"/>
  <c r="Q42" i="3"/>
  <c r="P42" i="3"/>
  <c r="O42" i="3"/>
  <c r="N42" i="3"/>
  <c r="M42" i="3"/>
  <c r="D42" i="3"/>
  <c r="U41" i="3"/>
  <c r="T41" i="3"/>
  <c r="S41" i="3"/>
  <c r="R41" i="3"/>
  <c r="Q41" i="3"/>
  <c r="P41" i="3"/>
  <c r="O41" i="3"/>
  <c r="N41" i="3"/>
  <c r="M41" i="3"/>
  <c r="K41" i="3"/>
  <c r="I41" i="3"/>
  <c r="H41" i="3"/>
  <c r="G41" i="3"/>
  <c r="F41" i="3"/>
  <c r="C41" i="3" s="1"/>
  <c r="E41" i="3"/>
  <c r="U40" i="3"/>
  <c r="T40" i="3"/>
  <c r="S40" i="3"/>
  <c r="R40" i="3"/>
  <c r="Q40" i="3"/>
  <c r="P40" i="3"/>
  <c r="O40" i="3"/>
  <c r="N40" i="3"/>
  <c r="M40" i="3"/>
  <c r="K40" i="3"/>
  <c r="H40" i="3"/>
  <c r="T39" i="3"/>
  <c r="S39" i="3"/>
  <c r="R39" i="3"/>
  <c r="Q39" i="3"/>
  <c r="K39" i="3"/>
  <c r="U39" i="3" s="1"/>
  <c r="I39" i="3"/>
  <c r="H39" i="3"/>
  <c r="G39" i="3"/>
  <c r="D39" i="3"/>
  <c r="N39" i="3" s="1"/>
  <c r="U38" i="3"/>
  <c r="T38" i="3"/>
  <c r="S38" i="3"/>
  <c r="R38" i="3"/>
  <c r="Q38" i="3"/>
  <c r="P38" i="3"/>
  <c r="O38" i="3"/>
  <c r="N38" i="3"/>
  <c r="M38" i="3"/>
  <c r="I38" i="3"/>
  <c r="H38" i="3"/>
  <c r="F38" i="3"/>
  <c r="E38" i="3"/>
  <c r="D38" i="3"/>
  <c r="U37" i="3"/>
  <c r="T37" i="3"/>
  <c r="S37" i="3"/>
  <c r="R37" i="3"/>
  <c r="Q37" i="3"/>
  <c r="P37" i="3"/>
  <c r="O37" i="3"/>
  <c r="N37" i="3"/>
  <c r="M37" i="3"/>
  <c r="K37" i="3"/>
  <c r="U36" i="3"/>
  <c r="T36" i="3"/>
  <c r="S36" i="3"/>
  <c r="R36" i="3"/>
  <c r="Q36" i="3"/>
  <c r="P36" i="3"/>
  <c r="O36" i="3"/>
  <c r="N36" i="3"/>
  <c r="M36" i="3"/>
  <c r="D36" i="3"/>
  <c r="U35" i="3"/>
  <c r="T35" i="3"/>
  <c r="S35" i="3"/>
  <c r="R35" i="3"/>
  <c r="Q35" i="3"/>
  <c r="P35" i="3"/>
  <c r="O35" i="3"/>
  <c r="N35" i="3"/>
  <c r="M35" i="3"/>
  <c r="F35" i="3"/>
  <c r="T34" i="3"/>
  <c r="T33" i="3"/>
  <c r="R33" i="3"/>
  <c r="D33" i="3"/>
  <c r="N33" i="3" s="1"/>
  <c r="H30" i="3"/>
  <c r="K30" i="3" s="1"/>
  <c r="D30" i="3"/>
  <c r="C28" i="3"/>
  <c r="I56" i="3" s="1"/>
  <c r="C27" i="3"/>
  <c r="F55" i="3" s="1"/>
  <c r="P55" i="3" s="1"/>
  <c r="C26" i="3"/>
  <c r="F54" i="3" s="1"/>
  <c r="C25" i="3"/>
  <c r="D53" i="3" s="1"/>
  <c r="C24" i="3"/>
  <c r="I52" i="3" s="1"/>
  <c r="C23" i="3"/>
  <c r="G51" i="3" s="1"/>
  <c r="C22" i="3"/>
  <c r="G50" i="3" s="1"/>
  <c r="C21" i="3"/>
  <c r="D49" i="3" s="1"/>
  <c r="C20" i="3"/>
  <c r="C19" i="3"/>
  <c r="E47" i="3" s="1"/>
  <c r="O47" i="3" s="1"/>
  <c r="C18" i="3"/>
  <c r="K46" i="3" s="1"/>
  <c r="C17" i="3"/>
  <c r="H45" i="3" s="1"/>
  <c r="C16" i="3"/>
  <c r="K44" i="3" s="1"/>
  <c r="C15" i="3"/>
  <c r="F43" i="3" s="1"/>
  <c r="C14" i="3"/>
  <c r="K42" i="3" s="1"/>
  <c r="C13" i="3"/>
  <c r="D41" i="3" s="1"/>
  <c r="C12" i="3"/>
  <c r="I40" i="3" s="1"/>
  <c r="C11" i="3"/>
  <c r="F39" i="3" s="1"/>
  <c r="P39" i="3" s="1"/>
  <c r="C10" i="3"/>
  <c r="G38" i="3" s="1"/>
  <c r="C9" i="3"/>
  <c r="G37" i="3" s="1"/>
  <c r="C8" i="3"/>
  <c r="C7" i="3"/>
  <c r="C6" i="3"/>
  <c r="K34" i="3" s="1"/>
  <c r="U34" i="3" s="1"/>
  <c r="C5" i="3"/>
  <c r="H33" i="3" s="1"/>
  <c r="U60" i="2"/>
  <c r="T60" i="2"/>
  <c r="S60" i="2"/>
  <c r="R60" i="2"/>
  <c r="Q60" i="2"/>
  <c r="P60" i="2"/>
  <c r="O60" i="2"/>
  <c r="N60" i="2"/>
  <c r="M60" i="2"/>
  <c r="K60" i="2"/>
  <c r="I60" i="2"/>
  <c r="H60" i="2"/>
  <c r="G60" i="2"/>
  <c r="F60" i="2"/>
  <c r="E60" i="2"/>
  <c r="U59" i="2"/>
  <c r="T59" i="2"/>
  <c r="S59" i="2"/>
  <c r="R59" i="2"/>
  <c r="Q59" i="2"/>
  <c r="P59" i="2"/>
  <c r="O59" i="2"/>
  <c r="N59" i="2"/>
  <c r="M59" i="2"/>
  <c r="U58" i="2"/>
  <c r="T58" i="2"/>
  <c r="S58" i="2"/>
  <c r="R58" i="2"/>
  <c r="Q58" i="2"/>
  <c r="P58" i="2"/>
  <c r="O58" i="2"/>
  <c r="N58" i="2"/>
  <c r="M58" i="2"/>
  <c r="G58" i="2"/>
  <c r="F58" i="2"/>
  <c r="U57" i="2"/>
  <c r="T57" i="2"/>
  <c r="S57" i="2"/>
  <c r="R57" i="2"/>
  <c r="Q57" i="2"/>
  <c r="P57" i="2"/>
  <c r="O57" i="2"/>
  <c r="N57" i="2"/>
  <c r="M57" i="2"/>
  <c r="U56" i="2"/>
  <c r="T56" i="2"/>
  <c r="S56" i="2"/>
  <c r="R56" i="2"/>
  <c r="Q56" i="2"/>
  <c r="P56" i="2"/>
  <c r="O56" i="2"/>
  <c r="N56" i="2"/>
  <c r="M56" i="2"/>
  <c r="T55" i="2"/>
  <c r="H55" i="2"/>
  <c r="R55" i="2" s="1"/>
  <c r="G55" i="2"/>
  <c r="Q55" i="2" s="1"/>
  <c r="F55" i="2"/>
  <c r="U54" i="2"/>
  <c r="T54" i="2"/>
  <c r="S54" i="2"/>
  <c r="R54" i="2"/>
  <c r="Q54" i="2"/>
  <c r="P54" i="2"/>
  <c r="O54" i="2"/>
  <c r="N54" i="2"/>
  <c r="M54" i="2"/>
  <c r="I54" i="2"/>
  <c r="H54" i="2"/>
  <c r="T53" i="2"/>
  <c r="D53" i="2"/>
  <c r="N53" i="2" s="1"/>
  <c r="U52" i="2"/>
  <c r="T52" i="2"/>
  <c r="S52" i="2"/>
  <c r="R52" i="2"/>
  <c r="Q52" i="2"/>
  <c r="P52" i="2"/>
  <c r="O52" i="2"/>
  <c r="N52" i="2"/>
  <c r="M52" i="2"/>
  <c r="G52" i="2"/>
  <c r="F52" i="2"/>
  <c r="E52" i="2"/>
  <c r="D52" i="2"/>
  <c r="T51" i="2"/>
  <c r="K51" i="2"/>
  <c r="U51" i="2" s="1"/>
  <c r="I51" i="2"/>
  <c r="S51" i="2" s="1"/>
  <c r="H51" i="2"/>
  <c r="R51" i="2" s="1"/>
  <c r="U50" i="2"/>
  <c r="T50" i="2"/>
  <c r="S50" i="2"/>
  <c r="R50" i="2"/>
  <c r="Q50" i="2"/>
  <c r="P50" i="2"/>
  <c r="O50" i="2"/>
  <c r="N50" i="2"/>
  <c r="M50" i="2"/>
  <c r="U49" i="2"/>
  <c r="T49" i="2"/>
  <c r="S49" i="2"/>
  <c r="R49" i="2"/>
  <c r="Q49" i="2"/>
  <c r="P49" i="2"/>
  <c r="O49" i="2"/>
  <c r="N49" i="2"/>
  <c r="M49" i="2"/>
  <c r="H49" i="2"/>
  <c r="G49" i="2"/>
  <c r="F49" i="2"/>
  <c r="E49" i="2"/>
  <c r="D49" i="2"/>
  <c r="U48" i="2"/>
  <c r="T48" i="2"/>
  <c r="S48" i="2"/>
  <c r="R48" i="2"/>
  <c r="Q48" i="2"/>
  <c r="P48" i="2"/>
  <c r="O48" i="2"/>
  <c r="N48" i="2"/>
  <c r="M48" i="2"/>
  <c r="K48" i="2"/>
  <c r="I48" i="2"/>
  <c r="H48" i="2"/>
  <c r="G48" i="2"/>
  <c r="C48" i="2" s="1"/>
  <c r="F48" i="2"/>
  <c r="E48" i="2"/>
  <c r="U47" i="2"/>
  <c r="T47" i="2"/>
  <c r="S47" i="2"/>
  <c r="R47" i="2"/>
  <c r="Q47" i="2"/>
  <c r="P47" i="2"/>
  <c r="O47" i="2"/>
  <c r="N47" i="2"/>
  <c r="M47" i="2"/>
  <c r="U46" i="2"/>
  <c r="T46" i="2"/>
  <c r="S46" i="2"/>
  <c r="R46" i="2"/>
  <c r="Q46" i="2"/>
  <c r="P46" i="2"/>
  <c r="O46" i="2"/>
  <c r="N46" i="2"/>
  <c r="M46" i="2"/>
  <c r="G46" i="2"/>
  <c r="F46" i="2"/>
  <c r="U45" i="2"/>
  <c r="T45" i="2"/>
  <c r="S45" i="2"/>
  <c r="R45" i="2"/>
  <c r="Q45" i="2"/>
  <c r="P45" i="2"/>
  <c r="O45" i="2"/>
  <c r="N45" i="2"/>
  <c r="M45" i="2"/>
  <c r="U44" i="2"/>
  <c r="T44" i="2"/>
  <c r="S44" i="2"/>
  <c r="R44" i="2"/>
  <c r="Q44" i="2"/>
  <c r="P44" i="2"/>
  <c r="O44" i="2"/>
  <c r="N44" i="2"/>
  <c r="M44" i="2"/>
  <c r="D44" i="2"/>
  <c r="U43" i="2"/>
  <c r="T43" i="2"/>
  <c r="S43" i="2"/>
  <c r="R43" i="2"/>
  <c r="Q43" i="2"/>
  <c r="P43" i="2"/>
  <c r="O43" i="2"/>
  <c r="N43" i="2"/>
  <c r="M43" i="2"/>
  <c r="K43" i="2"/>
  <c r="I43" i="2"/>
  <c r="H43" i="2"/>
  <c r="U42" i="2"/>
  <c r="T42" i="2"/>
  <c r="S42" i="2"/>
  <c r="R42" i="2"/>
  <c r="Q42" i="2"/>
  <c r="P42" i="2"/>
  <c r="O42" i="2"/>
  <c r="N42" i="2"/>
  <c r="M42" i="2"/>
  <c r="H42" i="2"/>
  <c r="F42" i="2"/>
  <c r="U41" i="2"/>
  <c r="T41" i="2"/>
  <c r="S41" i="2"/>
  <c r="R41" i="2"/>
  <c r="Q41" i="2"/>
  <c r="P41" i="2"/>
  <c r="O41" i="2"/>
  <c r="N41" i="2"/>
  <c r="M41" i="2"/>
  <c r="G41" i="2"/>
  <c r="F41" i="2"/>
  <c r="E41" i="2"/>
  <c r="D41" i="2"/>
  <c r="U40" i="2"/>
  <c r="T40" i="2"/>
  <c r="S40" i="2"/>
  <c r="R40" i="2"/>
  <c r="Q40" i="2"/>
  <c r="P40" i="2"/>
  <c r="O40" i="2"/>
  <c r="N40" i="2"/>
  <c r="M40" i="2"/>
  <c r="K40" i="2"/>
  <c r="I40" i="2"/>
  <c r="G40" i="2"/>
  <c r="F40" i="2"/>
  <c r="D40" i="2"/>
  <c r="U39" i="2"/>
  <c r="T39" i="2"/>
  <c r="S39" i="2"/>
  <c r="R39" i="2"/>
  <c r="Q39" i="2"/>
  <c r="P39" i="2"/>
  <c r="O39" i="2"/>
  <c r="N39" i="2"/>
  <c r="M39" i="2"/>
  <c r="I39" i="2"/>
  <c r="U38" i="2"/>
  <c r="T38" i="2"/>
  <c r="S38" i="2"/>
  <c r="R38" i="2"/>
  <c r="Q38" i="2"/>
  <c r="P38" i="2"/>
  <c r="O38" i="2"/>
  <c r="N38" i="2"/>
  <c r="M38" i="2"/>
  <c r="H38" i="2"/>
  <c r="G38" i="2"/>
  <c r="E38" i="2"/>
  <c r="D38" i="2"/>
  <c r="T37" i="2"/>
  <c r="N37" i="2"/>
  <c r="K37" i="2"/>
  <c r="U37" i="2" s="1"/>
  <c r="I37" i="2"/>
  <c r="S37" i="2" s="1"/>
  <c r="H37" i="2"/>
  <c r="R37" i="2" s="1"/>
  <c r="G37" i="2"/>
  <c r="Q37" i="2" s="1"/>
  <c r="F37" i="2"/>
  <c r="E37" i="2"/>
  <c r="O37" i="2" s="1"/>
  <c r="D37" i="2"/>
  <c r="T36" i="2"/>
  <c r="S36" i="2"/>
  <c r="R36" i="2"/>
  <c r="Q36" i="2"/>
  <c r="K36" i="2"/>
  <c r="U36" i="2" s="1"/>
  <c r="I36" i="2"/>
  <c r="H36" i="2"/>
  <c r="G36" i="2"/>
  <c r="E36" i="2"/>
  <c r="O36" i="2" s="1"/>
  <c r="D36" i="2"/>
  <c r="N36" i="2" s="1"/>
  <c r="T35" i="2"/>
  <c r="I35" i="2"/>
  <c r="S35" i="2" s="1"/>
  <c r="H35" i="2"/>
  <c r="R35" i="2" s="1"/>
  <c r="G35" i="2"/>
  <c r="Q35" i="2" s="1"/>
  <c r="K32" i="2"/>
  <c r="H32" i="2"/>
  <c r="D32" i="2"/>
  <c r="C30" i="2"/>
  <c r="D60" i="2" s="1"/>
  <c r="C29" i="2"/>
  <c r="I59" i="2" s="1"/>
  <c r="C28" i="2"/>
  <c r="E58" i="2" s="1"/>
  <c r="C27" i="2"/>
  <c r="K57" i="2" s="1"/>
  <c r="C26" i="2"/>
  <c r="C25" i="2"/>
  <c r="E55" i="2" s="1"/>
  <c r="O55" i="2" s="1"/>
  <c r="C24" i="2"/>
  <c r="K54" i="2" s="1"/>
  <c r="C23" i="2"/>
  <c r="K53" i="2" s="1"/>
  <c r="U53" i="2" s="1"/>
  <c r="C22" i="2"/>
  <c r="H52" i="2" s="1"/>
  <c r="C21" i="2"/>
  <c r="E51" i="2" s="1"/>
  <c r="O51" i="2" s="1"/>
  <c r="C20" i="2"/>
  <c r="F50" i="2" s="1"/>
  <c r="C19" i="2"/>
  <c r="K49" i="2" s="1"/>
  <c r="C18" i="2"/>
  <c r="D48" i="2" s="1"/>
  <c r="C17" i="2"/>
  <c r="I47" i="2" s="1"/>
  <c r="C16" i="2"/>
  <c r="H46" i="2" s="1"/>
  <c r="C15" i="2"/>
  <c r="C14" i="2"/>
  <c r="C13" i="2"/>
  <c r="E43" i="2" s="1"/>
  <c r="C12" i="2"/>
  <c r="K42" i="2" s="1"/>
  <c r="C11" i="2"/>
  <c r="K41" i="2" s="1"/>
  <c r="C10" i="2"/>
  <c r="H40" i="2" s="1"/>
  <c r="C9" i="2"/>
  <c r="H39" i="2" s="1"/>
  <c r="C8" i="2"/>
  <c r="F38" i="2" s="1"/>
  <c r="C7" i="2"/>
  <c r="C6" i="2"/>
  <c r="F36" i="2" s="1"/>
  <c r="C36" i="2" s="1"/>
  <c r="M36" i="2" s="1"/>
  <c r="C5" i="2"/>
  <c r="F35" i="2" s="1"/>
  <c r="P54" i="3" l="1"/>
  <c r="C39" i="4"/>
  <c r="P54" i="4"/>
  <c r="P55" i="2"/>
  <c r="C55" i="2"/>
  <c r="M55" i="2" s="1"/>
  <c r="C43" i="3"/>
  <c r="C47" i="4"/>
  <c r="P36" i="2"/>
  <c r="C60" i="2"/>
  <c r="C38" i="3"/>
  <c r="C39" i="3"/>
  <c r="M39" i="3" s="1"/>
  <c r="P48" i="4"/>
  <c r="G34" i="3"/>
  <c r="Q34" i="3" s="1"/>
  <c r="F34" i="3"/>
  <c r="E34" i="3"/>
  <c r="O34" i="3" s="1"/>
  <c r="D34" i="3"/>
  <c r="N34" i="3" s="1"/>
  <c r="I34" i="3"/>
  <c r="S34" i="3" s="1"/>
  <c r="H34" i="3"/>
  <c r="R34" i="3" s="1"/>
  <c r="E46" i="3"/>
  <c r="D46" i="3"/>
  <c r="G46" i="3"/>
  <c r="F46" i="3"/>
  <c r="C46" i="3" s="1"/>
  <c r="K35" i="3"/>
  <c r="I35" i="3"/>
  <c r="E35" i="3"/>
  <c r="D35" i="3"/>
  <c r="K47" i="3"/>
  <c r="U47" i="3" s="1"/>
  <c r="I47" i="3"/>
  <c r="S47" i="3" s="1"/>
  <c r="H47" i="3"/>
  <c r="R47" i="3" s="1"/>
  <c r="G47" i="3"/>
  <c r="Q47" i="3" s="1"/>
  <c r="F47" i="3"/>
  <c r="G35" i="3"/>
  <c r="K44" i="4"/>
  <c r="I44" i="4"/>
  <c r="G44" i="4"/>
  <c r="H44" i="4"/>
  <c r="F44" i="4"/>
  <c r="C44" i="4" s="1"/>
  <c r="K56" i="4"/>
  <c r="H56" i="4"/>
  <c r="I56" i="4"/>
  <c r="D56" i="4"/>
  <c r="G56" i="4"/>
  <c r="F56" i="4"/>
  <c r="E56" i="4"/>
  <c r="C40" i="2"/>
  <c r="E36" i="3"/>
  <c r="K36" i="3"/>
  <c r="I36" i="3"/>
  <c r="H36" i="3"/>
  <c r="G36" i="3"/>
  <c r="F36" i="3"/>
  <c r="E48" i="3"/>
  <c r="I48" i="3"/>
  <c r="H48" i="3"/>
  <c r="G48" i="3"/>
  <c r="F48" i="3"/>
  <c r="C48" i="3" s="1"/>
  <c r="D48" i="3"/>
  <c r="K48" i="3"/>
  <c r="H35" i="3"/>
  <c r="E45" i="4"/>
  <c r="O45" i="4" s="1"/>
  <c r="F45" i="4"/>
  <c r="K45" i="4"/>
  <c r="U45" i="4" s="1"/>
  <c r="I45" i="4"/>
  <c r="S45" i="4" s="1"/>
  <c r="H45" i="4"/>
  <c r="R45" i="4" s="1"/>
  <c r="G45" i="4"/>
  <c r="Q45" i="4" s="1"/>
  <c r="D45" i="4"/>
  <c r="N45" i="4" s="1"/>
  <c r="K44" i="2"/>
  <c r="I44" i="2"/>
  <c r="H44" i="2"/>
  <c r="F44" i="2"/>
  <c r="G44" i="2"/>
  <c r="K56" i="2"/>
  <c r="I56" i="2"/>
  <c r="H56" i="2"/>
  <c r="G56" i="2"/>
  <c r="F56" i="2"/>
  <c r="E56" i="2"/>
  <c r="D56" i="2"/>
  <c r="C46" i="2"/>
  <c r="C42" i="2"/>
  <c r="C35" i="3"/>
  <c r="G57" i="2"/>
  <c r="F57" i="2"/>
  <c r="C57" i="2" s="1"/>
  <c r="E57" i="2"/>
  <c r="D57" i="2"/>
  <c r="I57" i="2"/>
  <c r="H57" i="2"/>
  <c r="K58" i="2"/>
  <c r="I58" i="2"/>
  <c r="H58" i="2"/>
  <c r="C58" i="2" s="1"/>
  <c r="D58" i="2"/>
  <c r="G45" i="2"/>
  <c r="F45" i="2"/>
  <c r="C45" i="2" s="1"/>
  <c r="E45" i="2"/>
  <c r="D45" i="2"/>
  <c r="K45" i="2"/>
  <c r="I45" i="2"/>
  <c r="H45" i="2"/>
  <c r="K46" i="2"/>
  <c r="I46" i="2"/>
  <c r="E46" i="2"/>
  <c r="D46" i="2"/>
  <c r="E44" i="2"/>
  <c r="C35" i="2"/>
  <c r="M35" i="2" s="1"/>
  <c r="P35" i="2"/>
  <c r="C37" i="2"/>
  <c r="M37" i="2" s="1"/>
  <c r="C52" i="2"/>
  <c r="C52" i="3"/>
  <c r="K35" i="2"/>
  <c r="U35" i="2" s="1"/>
  <c r="D35" i="2"/>
  <c r="N35" i="2" s="1"/>
  <c r="D43" i="2"/>
  <c r="E35" i="2"/>
  <c r="O35" i="2" s="1"/>
  <c r="K39" i="2"/>
  <c r="E40" i="2"/>
  <c r="I42" i="2"/>
  <c r="F43" i="2"/>
  <c r="F51" i="2"/>
  <c r="G54" i="2"/>
  <c r="H37" i="3"/>
  <c r="G40" i="3"/>
  <c r="G43" i="3"/>
  <c r="K45" i="3"/>
  <c r="E49" i="3"/>
  <c r="G54" i="3"/>
  <c r="Q54" i="3" s="1"/>
  <c r="C55" i="3"/>
  <c r="M55" i="3" s="1"/>
  <c r="K46" i="4"/>
  <c r="K51" i="4"/>
  <c r="U51" i="4" s="1"/>
  <c r="G53" i="4"/>
  <c r="F61" i="4"/>
  <c r="G43" i="2"/>
  <c r="G51" i="2"/>
  <c r="Q51" i="2" s="1"/>
  <c r="D55" i="2"/>
  <c r="N55" i="2" s="1"/>
  <c r="I37" i="3"/>
  <c r="F49" i="3"/>
  <c r="C49" i="3" s="1"/>
  <c r="D52" i="3"/>
  <c r="H54" i="3"/>
  <c r="R54" i="3" s="1"/>
  <c r="D55" i="3"/>
  <c r="N55" i="3" s="1"/>
  <c r="H42" i="4"/>
  <c r="D42" i="4"/>
  <c r="H54" i="4"/>
  <c r="R54" i="4" s="1"/>
  <c r="I54" i="4"/>
  <c r="S54" i="4" s="1"/>
  <c r="G54" i="4"/>
  <c r="Q54" i="4" s="1"/>
  <c r="D54" i="4"/>
  <c r="N54" i="4" s="1"/>
  <c r="K42" i="4"/>
  <c r="C43" i="4"/>
  <c r="M43" i="4" s="1"/>
  <c r="H53" i="4"/>
  <c r="E54" i="4"/>
  <c r="O54" i="4" s="1"/>
  <c r="C55" i="4"/>
  <c r="F60" i="5"/>
  <c r="D60" i="5"/>
  <c r="K60" i="5"/>
  <c r="I60" i="5"/>
  <c r="E60" i="5"/>
  <c r="K72" i="5"/>
  <c r="D72" i="5"/>
  <c r="I72" i="5"/>
  <c r="F72" i="5"/>
  <c r="K84" i="5"/>
  <c r="U84" i="5" s="1"/>
  <c r="I84" i="5"/>
  <c r="S84" i="5" s="1"/>
  <c r="H84" i="5"/>
  <c r="R84" i="5" s="1"/>
  <c r="G84" i="5"/>
  <c r="Q84" i="5" s="1"/>
  <c r="E84" i="5"/>
  <c r="O84" i="5" s="1"/>
  <c r="H72" i="5"/>
  <c r="C69" i="7"/>
  <c r="E57" i="4"/>
  <c r="I57" i="4"/>
  <c r="H57" i="4"/>
  <c r="D57" i="4"/>
  <c r="D47" i="2"/>
  <c r="F58" i="4"/>
  <c r="E58" i="4"/>
  <c r="D58" i="4"/>
  <c r="I38" i="2"/>
  <c r="C38" i="2" s="1"/>
  <c r="D39" i="2"/>
  <c r="H41" i="2"/>
  <c r="C41" i="2" s="1"/>
  <c r="E47" i="2"/>
  <c r="I49" i="2"/>
  <c r="C49" i="2" s="1"/>
  <c r="D50" i="2"/>
  <c r="I52" i="2"/>
  <c r="E53" i="2"/>
  <c r="O53" i="2" s="1"/>
  <c r="K55" i="2"/>
  <c r="U55" i="2" s="1"/>
  <c r="D59" i="2"/>
  <c r="E33" i="3"/>
  <c r="O33" i="3" s="1"/>
  <c r="K38" i="3"/>
  <c r="E39" i="3"/>
  <c r="O39" i="3" s="1"/>
  <c r="E42" i="3"/>
  <c r="H44" i="3"/>
  <c r="C44" i="3" s="1"/>
  <c r="F50" i="3"/>
  <c r="C50" i="3" s="1"/>
  <c r="K52" i="3"/>
  <c r="K55" i="3"/>
  <c r="U55" i="3" s="1"/>
  <c r="E56" i="3"/>
  <c r="G47" i="4"/>
  <c r="K47" i="4"/>
  <c r="G59" i="4"/>
  <c r="H59" i="4"/>
  <c r="G37" i="4"/>
  <c r="I40" i="4"/>
  <c r="S40" i="4" s="1"/>
  <c r="E41" i="4"/>
  <c r="D46" i="4"/>
  <c r="I53" i="5"/>
  <c r="G53" i="5"/>
  <c r="H53" i="5"/>
  <c r="G65" i="5"/>
  <c r="Q65" i="5" s="1"/>
  <c r="E65" i="5"/>
  <c r="O65" i="5" s="1"/>
  <c r="I65" i="5"/>
  <c r="S65" i="5" s="1"/>
  <c r="F65" i="5"/>
  <c r="E77" i="5"/>
  <c r="D77" i="5"/>
  <c r="G77" i="5"/>
  <c r="C77" i="5" s="1"/>
  <c r="K77" i="5"/>
  <c r="H77" i="5"/>
  <c r="G60" i="5"/>
  <c r="D69" i="5"/>
  <c r="D84" i="5"/>
  <c r="N84" i="5" s="1"/>
  <c r="G52" i="6"/>
  <c r="Q52" i="6" s="1"/>
  <c r="F52" i="6"/>
  <c r="K52" i="6"/>
  <c r="U52" i="6" s="1"/>
  <c r="I52" i="6"/>
  <c r="S52" i="6" s="1"/>
  <c r="H52" i="6"/>
  <c r="R52" i="6" s="1"/>
  <c r="E52" i="6"/>
  <c r="O52" i="6" s="1"/>
  <c r="D52" i="6"/>
  <c r="N52" i="6" s="1"/>
  <c r="G64" i="6"/>
  <c r="F64" i="6"/>
  <c r="C64" i="6" s="1"/>
  <c r="E64" i="6"/>
  <c r="D64" i="6"/>
  <c r="K64" i="6"/>
  <c r="I64" i="6"/>
  <c r="H64" i="6"/>
  <c r="K76" i="6"/>
  <c r="H76" i="6"/>
  <c r="G76" i="6"/>
  <c r="F76" i="6"/>
  <c r="E76" i="6"/>
  <c r="D76" i="6"/>
  <c r="I76" i="6"/>
  <c r="I55" i="2"/>
  <c r="S55" i="2" s="1"/>
  <c r="K49" i="3"/>
  <c r="P37" i="2"/>
  <c r="K38" i="2"/>
  <c r="E39" i="2"/>
  <c r="I41" i="2"/>
  <c r="D42" i="2"/>
  <c r="F47" i="2"/>
  <c r="E50" i="2"/>
  <c r="K52" i="2"/>
  <c r="F53" i="2"/>
  <c r="E59" i="2"/>
  <c r="F33" i="3"/>
  <c r="F42" i="3"/>
  <c r="I44" i="3"/>
  <c r="D45" i="3"/>
  <c r="H50" i="3"/>
  <c r="F56" i="3"/>
  <c r="I48" i="4"/>
  <c r="S48" i="4" s="1"/>
  <c r="H48" i="4"/>
  <c r="R48" i="4" s="1"/>
  <c r="E48" i="4"/>
  <c r="O48" i="4" s="1"/>
  <c r="I60" i="4"/>
  <c r="H60" i="4"/>
  <c r="G60" i="4"/>
  <c r="F60" i="4"/>
  <c r="H37" i="4"/>
  <c r="R37" i="4" s="1"/>
  <c r="F41" i="4"/>
  <c r="E46" i="4"/>
  <c r="F57" i="4"/>
  <c r="G58" i="4"/>
  <c r="C62" i="4"/>
  <c r="M62" i="4" s="1"/>
  <c r="D63" i="4"/>
  <c r="H60" i="5"/>
  <c r="D65" i="5"/>
  <c r="N65" i="5" s="1"/>
  <c r="C70" i="5"/>
  <c r="F84" i="5"/>
  <c r="C56" i="6"/>
  <c r="M56" i="6" s="1"/>
  <c r="Q56" i="6"/>
  <c r="F39" i="2"/>
  <c r="E42" i="2"/>
  <c r="G47" i="2"/>
  <c r="G50" i="2"/>
  <c r="G53" i="2"/>
  <c r="Q53" i="2" s="1"/>
  <c r="F59" i="2"/>
  <c r="G33" i="3"/>
  <c r="Q33" i="3" s="1"/>
  <c r="D37" i="3"/>
  <c r="G42" i="3"/>
  <c r="E45" i="3"/>
  <c r="G56" i="3"/>
  <c r="I49" i="4"/>
  <c r="C49" i="4" s="1"/>
  <c r="E49" i="4"/>
  <c r="D49" i="4"/>
  <c r="I61" i="4"/>
  <c r="S61" i="4" s="1"/>
  <c r="D61" i="4"/>
  <c r="N61" i="4" s="1"/>
  <c r="K37" i="4"/>
  <c r="U37" i="4" s="1"/>
  <c r="G41" i="4"/>
  <c r="P43" i="4"/>
  <c r="F46" i="4"/>
  <c r="G57" i="4"/>
  <c r="H58" i="4"/>
  <c r="E63" i="4"/>
  <c r="G55" i="5"/>
  <c r="C55" i="5" s="1"/>
  <c r="E55" i="5"/>
  <c r="I55" i="5"/>
  <c r="K67" i="5"/>
  <c r="H67" i="5"/>
  <c r="I67" i="5"/>
  <c r="G67" i="5"/>
  <c r="C67" i="5" s="1"/>
  <c r="D67" i="5"/>
  <c r="I79" i="5"/>
  <c r="H79" i="5"/>
  <c r="G79" i="5"/>
  <c r="F79" i="5"/>
  <c r="E79" i="5"/>
  <c r="K79" i="5"/>
  <c r="D79" i="5"/>
  <c r="G39" i="2"/>
  <c r="H47" i="2"/>
  <c r="H50" i="2"/>
  <c r="H53" i="2"/>
  <c r="R53" i="2" s="1"/>
  <c r="D54" i="2"/>
  <c r="G59" i="2"/>
  <c r="I33" i="3"/>
  <c r="S33" i="3" s="1"/>
  <c r="E37" i="3"/>
  <c r="D40" i="3"/>
  <c r="H42" i="3"/>
  <c r="F45" i="3"/>
  <c r="D54" i="3"/>
  <c r="N54" i="3" s="1"/>
  <c r="H56" i="3"/>
  <c r="H41" i="4"/>
  <c r="E42" i="4"/>
  <c r="G46" i="4"/>
  <c r="D53" i="4"/>
  <c r="K57" i="4"/>
  <c r="I58" i="4"/>
  <c r="K56" i="5"/>
  <c r="I56" i="5"/>
  <c r="H56" i="5"/>
  <c r="G56" i="5"/>
  <c r="C56" i="5" s="1"/>
  <c r="D56" i="5"/>
  <c r="K68" i="5"/>
  <c r="U68" i="5" s="1"/>
  <c r="G68" i="5"/>
  <c r="Q68" i="5" s="1"/>
  <c r="E68" i="5"/>
  <c r="O68" i="5" s="1"/>
  <c r="I68" i="5"/>
  <c r="S68" i="5" s="1"/>
  <c r="H68" i="5"/>
  <c r="R68" i="5" s="1"/>
  <c r="F68" i="5"/>
  <c r="K80" i="5"/>
  <c r="D80" i="5"/>
  <c r="F80" i="5"/>
  <c r="I80" i="5"/>
  <c r="H80" i="5"/>
  <c r="G80" i="5"/>
  <c r="G42" i="2"/>
  <c r="K47" i="2"/>
  <c r="I50" i="2"/>
  <c r="D51" i="2"/>
  <c r="N51" i="2" s="1"/>
  <c r="I53" i="2"/>
  <c r="S53" i="2" s="1"/>
  <c r="E54" i="2"/>
  <c r="H59" i="2"/>
  <c r="K33" i="3"/>
  <c r="U33" i="3" s="1"/>
  <c r="F37" i="3"/>
  <c r="C37" i="3" s="1"/>
  <c r="E40" i="3"/>
  <c r="I42" i="3"/>
  <c r="D43" i="3"/>
  <c r="G45" i="3"/>
  <c r="E54" i="3"/>
  <c r="O54" i="3" s="1"/>
  <c r="K56" i="3"/>
  <c r="I51" i="4"/>
  <c r="S51" i="4" s="1"/>
  <c r="H51" i="4"/>
  <c r="R51" i="4" s="1"/>
  <c r="E51" i="4"/>
  <c r="O51" i="4" s="1"/>
  <c r="K63" i="4"/>
  <c r="I63" i="4"/>
  <c r="F63" i="4"/>
  <c r="D39" i="4"/>
  <c r="K41" i="4"/>
  <c r="F42" i="4"/>
  <c r="H46" i="4"/>
  <c r="F51" i="4"/>
  <c r="E53" i="4"/>
  <c r="K58" i="4"/>
  <c r="H63" i="4"/>
  <c r="I57" i="5"/>
  <c r="S57" i="5" s="1"/>
  <c r="G57" i="5"/>
  <c r="Q57" i="5" s="1"/>
  <c r="E57" i="5"/>
  <c r="O57" i="5" s="1"/>
  <c r="H57" i="5"/>
  <c r="R57" i="5" s="1"/>
  <c r="F57" i="5"/>
  <c r="D57" i="5"/>
  <c r="N57" i="5" s="1"/>
  <c r="E69" i="5"/>
  <c r="F69" i="5"/>
  <c r="K69" i="5"/>
  <c r="I69" i="5"/>
  <c r="H69" i="5"/>
  <c r="E81" i="5"/>
  <c r="K81" i="5"/>
  <c r="I81" i="5"/>
  <c r="H81" i="5"/>
  <c r="G81" i="5"/>
  <c r="F81" i="5"/>
  <c r="D81" i="5"/>
  <c r="E80" i="5"/>
  <c r="K50" i="2"/>
  <c r="F54" i="2"/>
  <c r="K59" i="2"/>
  <c r="F40" i="3"/>
  <c r="C40" i="3" s="1"/>
  <c r="E43" i="3"/>
  <c r="I45" i="3"/>
  <c r="F52" i="4"/>
  <c r="C52" i="4" s="1"/>
  <c r="H52" i="4"/>
  <c r="E52" i="4"/>
  <c r="D52" i="4"/>
  <c r="K64" i="4"/>
  <c r="U64" i="4" s="1"/>
  <c r="H64" i="4"/>
  <c r="R64" i="4" s="1"/>
  <c r="F64" i="4"/>
  <c r="I64" i="4"/>
  <c r="S64" i="4" s="1"/>
  <c r="G64" i="4"/>
  <c r="Q64" i="4" s="1"/>
  <c r="E64" i="4"/>
  <c r="O64" i="4" s="1"/>
  <c r="D64" i="4"/>
  <c r="N64" i="4" s="1"/>
  <c r="E39" i="4"/>
  <c r="G42" i="4"/>
  <c r="D47" i="4"/>
  <c r="G51" i="4"/>
  <c r="Q51" i="4" s="1"/>
  <c r="K52" i="4"/>
  <c r="F53" i="4"/>
  <c r="F59" i="4"/>
  <c r="D60" i="4"/>
  <c r="E61" i="4"/>
  <c r="O61" i="4" s="1"/>
  <c r="C50" i="5"/>
  <c r="M50" i="5" s="1"/>
  <c r="P50" i="5"/>
  <c r="F53" i="5"/>
  <c r="C53" i="5" s="1"/>
  <c r="C58" i="5"/>
  <c r="E72" i="5"/>
  <c r="H66" i="5"/>
  <c r="E66" i="5"/>
  <c r="H78" i="5"/>
  <c r="K78" i="5"/>
  <c r="I78" i="5"/>
  <c r="K54" i="5"/>
  <c r="F53" i="6"/>
  <c r="E53" i="6"/>
  <c r="D53" i="6"/>
  <c r="H53" i="6"/>
  <c r="F65" i="6"/>
  <c r="C65" i="6" s="1"/>
  <c r="E65" i="6"/>
  <c r="D65" i="6"/>
  <c r="H65" i="6"/>
  <c r="I70" i="5"/>
  <c r="G70" i="5"/>
  <c r="H82" i="5"/>
  <c r="G82" i="5"/>
  <c r="F82" i="5"/>
  <c r="C82" i="5" s="1"/>
  <c r="E82" i="5"/>
  <c r="D82" i="5"/>
  <c r="K82" i="5"/>
  <c r="D50" i="5"/>
  <c r="N50" i="5" s="1"/>
  <c r="G66" i="5"/>
  <c r="C66" i="5" s="1"/>
  <c r="I49" i="7"/>
  <c r="F49" i="7"/>
  <c r="D49" i="7"/>
  <c r="K49" i="7"/>
  <c r="H49" i="7"/>
  <c r="G49" i="7"/>
  <c r="E49" i="7"/>
  <c r="I61" i="7"/>
  <c r="F61" i="7"/>
  <c r="D61" i="7"/>
  <c r="K61" i="7"/>
  <c r="H61" i="7"/>
  <c r="G61" i="7"/>
  <c r="E61" i="7"/>
  <c r="I73" i="7"/>
  <c r="F73" i="7"/>
  <c r="D73" i="7"/>
  <c r="G73" i="7"/>
  <c r="E73" i="7"/>
  <c r="K73" i="7"/>
  <c r="I85" i="7"/>
  <c r="F85" i="7"/>
  <c r="D85" i="7"/>
  <c r="E85" i="7"/>
  <c r="E78" i="5"/>
  <c r="E86" i="5"/>
  <c r="H48" i="6"/>
  <c r="G48" i="6"/>
  <c r="F48" i="6"/>
  <c r="C48" i="6" s="1"/>
  <c r="E48" i="6"/>
  <c r="D48" i="6"/>
  <c r="K48" i="6"/>
  <c r="H59" i="6"/>
  <c r="G59" i="6"/>
  <c r="I59" i="6"/>
  <c r="F59" i="6"/>
  <c r="E59" i="6"/>
  <c r="D59" i="6"/>
  <c r="I71" i="6"/>
  <c r="H71" i="6"/>
  <c r="G71" i="6"/>
  <c r="F71" i="6"/>
  <c r="C71" i="6" s="1"/>
  <c r="E71" i="6"/>
  <c r="K71" i="6"/>
  <c r="D71" i="6"/>
  <c r="D83" i="6"/>
  <c r="N83" i="6" s="1"/>
  <c r="I83" i="6"/>
  <c r="S83" i="6" s="1"/>
  <c r="H83" i="6"/>
  <c r="R83" i="6" s="1"/>
  <c r="G83" i="6"/>
  <c r="Q83" i="6" s="1"/>
  <c r="F83" i="6"/>
  <c r="E83" i="6"/>
  <c r="O83" i="6" s="1"/>
  <c r="K83" i="6"/>
  <c r="U83" i="6" s="1"/>
  <c r="G53" i="6"/>
  <c r="H50" i="5"/>
  <c r="R50" i="5" s="1"/>
  <c r="D52" i="5"/>
  <c r="E54" i="5"/>
  <c r="F78" i="5"/>
  <c r="I53" i="6"/>
  <c r="D62" i="5"/>
  <c r="I62" i="5"/>
  <c r="G62" i="5"/>
  <c r="E62" i="5"/>
  <c r="D74" i="5"/>
  <c r="N74" i="5" s="1"/>
  <c r="F74" i="5"/>
  <c r="E74" i="5"/>
  <c r="O74" i="5" s="1"/>
  <c r="H74" i="5"/>
  <c r="R74" i="5" s="1"/>
  <c r="D86" i="5"/>
  <c r="F86" i="5"/>
  <c r="I50" i="5"/>
  <c r="S50" i="5" s="1"/>
  <c r="F52" i="5"/>
  <c r="F54" i="5"/>
  <c r="C54" i="5" s="1"/>
  <c r="K74" i="5"/>
  <c r="U74" i="5" s="1"/>
  <c r="G78" i="5"/>
  <c r="H86" i="5"/>
  <c r="K61" i="6"/>
  <c r="I61" i="6"/>
  <c r="H61" i="6"/>
  <c r="G61" i="6"/>
  <c r="F61" i="6"/>
  <c r="D73" i="6"/>
  <c r="K73" i="6"/>
  <c r="I73" i="6"/>
  <c r="H73" i="6"/>
  <c r="G73" i="6"/>
  <c r="F73" i="6"/>
  <c r="C73" i="6" s="1"/>
  <c r="E73" i="6"/>
  <c r="K53" i="6"/>
  <c r="G54" i="5"/>
  <c r="F62" i="5"/>
  <c r="C83" i="5"/>
  <c r="I86" i="5"/>
  <c r="E50" i="6"/>
  <c r="O50" i="6" s="1"/>
  <c r="D50" i="6"/>
  <c r="N50" i="6" s="1"/>
  <c r="K50" i="6"/>
  <c r="U50" i="6" s="1"/>
  <c r="I50" i="6"/>
  <c r="S50" i="6" s="1"/>
  <c r="E62" i="6"/>
  <c r="D62" i="6"/>
  <c r="K62" i="6"/>
  <c r="I62" i="6"/>
  <c r="H62" i="6"/>
  <c r="G62" i="6"/>
  <c r="C62" i="6" s="1"/>
  <c r="H74" i="6"/>
  <c r="F74" i="6"/>
  <c r="E74" i="6"/>
  <c r="D74" i="6"/>
  <c r="K74" i="6"/>
  <c r="I74" i="6"/>
  <c r="G74" i="6"/>
  <c r="C49" i="6"/>
  <c r="C65" i="4"/>
  <c r="G52" i="5"/>
  <c r="E52" i="5"/>
  <c r="F64" i="5"/>
  <c r="K64" i="5"/>
  <c r="H64" i="5"/>
  <c r="F76" i="5"/>
  <c r="K76" i="5"/>
  <c r="I76" i="5"/>
  <c r="H76" i="5"/>
  <c r="G76" i="5"/>
  <c r="E76" i="5"/>
  <c r="G88" i="5"/>
  <c r="Q88" i="5" s="1"/>
  <c r="F88" i="5"/>
  <c r="H88" i="5"/>
  <c r="R88" i="5" s="1"/>
  <c r="E88" i="5"/>
  <c r="O88" i="5" s="1"/>
  <c r="D88" i="5"/>
  <c r="N88" i="5" s="1"/>
  <c r="K88" i="5"/>
  <c r="U88" i="5" s="1"/>
  <c r="I52" i="5"/>
  <c r="H62" i="5"/>
  <c r="K86" i="5"/>
  <c r="K51" i="6"/>
  <c r="U51" i="6" s="1"/>
  <c r="I51" i="6"/>
  <c r="S51" i="6" s="1"/>
  <c r="H51" i="6"/>
  <c r="R51" i="6" s="1"/>
  <c r="G51" i="6"/>
  <c r="Q51" i="6" s="1"/>
  <c r="F51" i="6"/>
  <c r="K63" i="6"/>
  <c r="U63" i="6" s="1"/>
  <c r="I63" i="6"/>
  <c r="S63" i="6" s="1"/>
  <c r="H63" i="6"/>
  <c r="R63" i="6" s="1"/>
  <c r="G63" i="6"/>
  <c r="Q63" i="6" s="1"/>
  <c r="F63" i="6"/>
  <c r="E63" i="6"/>
  <c r="O63" i="6" s="1"/>
  <c r="D63" i="6"/>
  <c r="N63" i="6" s="1"/>
  <c r="F75" i="6"/>
  <c r="C75" i="6" s="1"/>
  <c r="K75" i="6"/>
  <c r="I75" i="6"/>
  <c r="H75" i="6"/>
  <c r="G75" i="6"/>
  <c r="E75" i="6"/>
  <c r="D75" i="6"/>
  <c r="I48" i="6"/>
  <c r="F50" i="6"/>
  <c r="C54" i="7"/>
  <c r="M54" i="7" s="1"/>
  <c r="P54" i="7"/>
  <c r="D75" i="5"/>
  <c r="K85" i="5"/>
  <c r="K49" i="6"/>
  <c r="I49" i="6"/>
  <c r="I72" i="6"/>
  <c r="D72" i="6"/>
  <c r="E49" i="6"/>
  <c r="G60" i="6"/>
  <c r="C60" i="6" s="1"/>
  <c r="I70" i="6"/>
  <c r="S70" i="6" s="1"/>
  <c r="C80" i="7"/>
  <c r="H51" i="7"/>
  <c r="F51" i="7"/>
  <c r="C51" i="7" s="1"/>
  <c r="E51" i="7"/>
  <c r="D51" i="7"/>
  <c r="H63" i="7"/>
  <c r="F63" i="7"/>
  <c r="E63" i="7"/>
  <c r="D63" i="7"/>
  <c r="H75" i="7"/>
  <c r="R75" i="7" s="1"/>
  <c r="F75" i="7"/>
  <c r="E75" i="7"/>
  <c r="O75" i="7" s="1"/>
  <c r="D75" i="7"/>
  <c r="N75" i="7" s="1"/>
  <c r="G63" i="7"/>
  <c r="G66" i="7"/>
  <c r="C66" i="7" s="1"/>
  <c r="H77" i="6"/>
  <c r="R77" i="6" s="1"/>
  <c r="E77" i="6"/>
  <c r="O77" i="6" s="1"/>
  <c r="E47" i="6"/>
  <c r="C55" i="6"/>
  <c r="G58" i="6"/>
  <c r="E72" i="6"/>
  <c r="H52" i="7"/>
  <c r="F52" i="7"/>
  <c r="K52" i="7"/>
  <c r="I52" i="7"/>
  <c r="H64" i="7"/>
  <c r="F64" i="7"/>
  <c r="C64" i="7" s="1"/>
  <c r="K64" i="7"/>
  <c r="I64" i="7"/>
  <c r="H76" i="7"/>
  <c r="F76" i="7"/>
  <c r="K76" i="7"/>
  <c r="I76" i="7"/>
  <c r="D54" i="7"/>
  <c r="N54" i="7" s="1"/>
  <c r="I63" i="7"/>
  <c r="E64" i="7"/>
  <c r="G76" i="7"/>
  <c r="F49" i="5"/>
  <c r="C49" i="5" s="1"/>
  <c r="H51" i="5"/>
  <c r="C51" i="5" s="1"/>
  <c r="E73" i="5"/>
  <c r="G87" i="5"/>
  <c r="C87" i="5" s="1"/>
  <c r="I54" i="6"/>
  <c r="C54" i="6" s="1"/>
  <c r="H54" i="6"/>
  <c r="I66" i="6"/>
  <c r="H66" i="6"/>
  <c r="G66" i="6"/>
  <c r="F66" i="6"/>
  <c r="C66" i="6" s="1"/>
  <c r="K78" i="6"/>
  <c r="I78" i="6"/>
  <c r="H78" i="6"/>
  <c r="G78" i="6"/>
  <c r="F78" i="6"/>
  <c r="C78" i="6" s="1"/>
  <c r="F47" i="6"/>
  <c r="H58" i="6"/>
  <c r="F72" i="6"/>
  <c r="H81" i="6"/>
  <c r="E82" i="6"/>
  <c r="G51" i="7"/>
  <c r="D52" i="7"/>
  <c r="C56" i="7"/>
  <c r="K63" i="7"/>
  <c r="G64" i="7"/>
  <c r="C83" i="7"/>
  <c r="M83" i="7" s="1"/>
  <c r="D85" i="5"/>
  <c r="H87" i="5"/>
  <c r="H69" i="6"/>
  <c r="G72" i="6"/>
  <c r="D77" i="6"/>
  <c r="N77" i="6" s="1"/>
  <c r="K54" i="7"/>
  <c r="U54" i="7" s="1"/>
  <c r="H54" i="7"/>
  <c r="R54" i="7" s="1"/>
  <c r="E54" i="7"/>
  <c r="O54" i="7" s="1"/>
  <c r="K66" i="7"/>
  <c r="H66" i="7"/>
  <c r="E66" i="7"/>
  <c r="K78" i="7"/>
  <c r="H78" i="7"/>
  <c r="C78" i="7" s="1"/>
  <c r="E78" i="7"/>
  <c r="I51" i="7"/>
  <c r="G54" i="7"/>
  <c r="Q54" i="7" s="1"/>
  <c r="H49" i="5"/>
  <c r="G73" i="5"/>
  <c r="C73" i="5" s="1"/>
  <c r="E85" i="5"/>
  <c r="I87" i="5"/>
  <c r="D70" i="6"/>
  <c r="N70" i="6" s="1"/>
  <c r="H72" i="6"/>
  <c r="F77" i="6"/>
  <c r="K51" i="7"/>
  <c r="G52" i="7"/>
  <c r="I54" i="7"/>
  <c r="S54" i="7" s="1"/>
  <c r="F85" i="5"/>
  <c r="F57" i="6"/>
  <c r="C57" i="6" s="1"/>
  <c r="E57" i="6"/>
  <c r="G69" i="6"/>
  <c r="F69" i="6"/>
  <c r="C69" i="6" s="1"/>
  <c r="E69" i="6"/>
  <c r="D69" i="6"/>
  <c r="I81" i="6"/>
  <c r="G81" i="6"/>
  <c r="F81" i="6"/>
  <c r="C81" i="6" s="1"/>
  <c r="E81" i="6"/>
  <c r="D81" i="6"/>
  <c r="D60" i="6"/>
  <c r="K69" i="6"/>
  <c r="K72" i="6"/>
  <c r="G77" i="6"/>
  <c r="Q77" i="6" s="1"/>
  <c r="G75" i="7"/>
  <c r="Q75" i="7" s="1"/>
  <c r="K73" i="5"/>
  <c r="G85" i="5"/>
  <c r="H47" i="6"/>
  <c r="G47" i="6"/>
  <c r="G70" i="6"/>
  <c r="Q70" i="6" s="1"/>
  <c r="K70" i="6"/>
  <c r="U70" i="6" s="1"/>
  <c r="I82" i="6"/>
  <c r="G82" i="6"/>
  <c r="C82" i="6" s="1"/>
  <c r="D82" i="6"/>
  <c r="K82" i="6"/>
  <c r="F70" i="6"/>
  <c r="I77" i="6"/>
  <c r="S77" i="6" s="1"/>
  <c r="I75" i="7"/>
  <c r="S75" i="7" s="1"/>
  <c r="H68" i="6"/>
  <c r="C68" i="6" s="1"/>
  <c r="H80" i="6"/>
  <c r="C80" i="6" s="1"/>
  <c r="E48" i="7"/>
  <c r="G50" i="7"/>
  <c r="C50" i="7" s="1"/>
  <c r="D53" i="7"/>
  <c r="F55" i="7"/>
  <c r="H57" i="7"/>
  <c r="C58" i="7"/>
  <c r="M58" i="7" s="1"/>
  <c r="K59" i="7"/>
  <c r="E60" i="7"/>
  <c r="O60" i="7" s="1"/>
  <c r="G62" i="7"/>
  <c r="D65" i="7"/>
  <c r="F67" i="7"/>
  <c r="H69" i="7"/>
  <c r="K71" i="7"/>
  <c r="E72" i="7"/>
  <c r="O72" i="7" s="1"/>
  <c r="G74" i="7"/>
  <c r="C74" i="7" s="1"/>
  <c r="D77" i="7"/>
  <c r="F79" i="7"/>
  <c r="H81" i="7"/>
  <c r="K83" i="7"/>
  <c r="U83" i="7" s="1"/>
  <c r="E84" i="7"/>
  <c r="G86" i="7"/>
  <c r="I68" i="6"/>
  <c r="I80" i="6"/>
  <c r="F48" i="7"/>
  <c r="H50" i="7"/>
  <c r="E53" i="7"/>
  <c r="G55" i="7"/>
  <c r="Q55" i="7" s="1"/>
  <c r="I57" i="7"/>
  <c r="F60" i="7"/>
  <c r="H62" i="7"/>
  <c r="E65" i="7"/>
  <c r="G67" i="7"/>
  <c r="I69" i="7"/>
  <c r="D70" i="7"/>
  <c r="F72" i="7"/>
  <c r="H74" i="7"/>
  <c r="E77" i="7"/>
  <c r="G79" i="7"/>
  <c r="I81" i="7"/>
  <c r="C81" i="7" s="1"/>
  <c r="D82" i="7"/>
  <c r="N82" i="7" s="1"/>
  <c r="F84" i="7"/>
  <c r="H86" i="7"/>
  <c r="K80" i="6"/>
  <c r="G48" i="7"/>
  <c r="I50" i="7"/>
  <c r="F53" i="7"/>
  <c r="C53" i="7" s="1"/>
  <c r="H55" i="7"/>
  <c r="R55" i="7" s="1"/>
  <c r="K57" i="7"/>
  <c r="G60" i="7"/>
  <c r="Q60" i="7" s="1"/>
  <c r="I62" i="7"/>
  <c r="C62" i="7" s="1"/>
  <c r="F65" i="7"/>
  <c r="C65" i="7" s="1"/>
  <c r="H67" i="7"/>
  <c r="K69" i="7"/>
  <c r="E70" i="7"/>
  <c r="G72" i="7"/>
  <c r="Q72" i="7" s="1"/>
  <c r="I74" i="7"/>
  <c r="F77" i="7"/>
  <c r="H79" i="7"/>
  <c r="K81" i="7"/>
  <c r="E82" i="7"/>
  <c r="O82" i="7" s="1"/>
  <c r="G84" i="7"/>
  <c r="I86" i="7"/>
  <c r="H48" i="7"/>
  <c r="K50" i="7"/>
  <c r="G53" i="7"/>
  <c r="I55" i="7"/>
  <c r="S55" i="7" s="1"/>
  <c r="D56" i="7"/>
  <c r="H60" i="7"/>
  <c r="R60" i="7" s="1"/>
  <c r="K62" i="7"/>
  <c r="G65" i="7"/>
  <c r="I67" i="7"/>
  <c r="D68" i="7"/>
  <c r="H72" i="7"/>
  <c r="R72" i="7" s="1"/>
  <c r="K74" i="7"/>
  <c r="G77" i="7"/>
  <c r="I79" i="7"/>
  <c r="D80" i="7"/>
  <c r="F82" i="7"/>
  <c r="H84" i="7"/>
  <c r="K86" i="7"/>
  <c r="K55" i="7"/>
  <c r="U55" i="7" s="1"/>
  <c r="E56" i="7"/>
  <c r="I60" i="7"/>
  <c r="S60" i="7" s="1"/>
  <c r="H65" i="7"/>
  <c r="K67" i="7"/>
  <c r="E68" i="7"/>
  <c r="I72" i="7"/>
  <c r="S72" i="7" s="1"/>
  <c r="H77" i="7"/>
  <c r="K79" i="7"/>
  <c r="E80" i="7"/>
  <c r="I84" i="7"/>
  <c r="G68" i="7"/>
  <c r="C68" i="7" s="1"/>
  <c r="D71" i="7"/>
  <c r="G80" i="7"/>
  <c r="D83" i="7"/>
  <c r="N83" i="7" s="1"/>
  <c r="D50" i="7"/>
  <c r="D62" i="7"/>
  <c r="E69" i="7"/>
  <c r="G71" i="7"/>
  <c r="C71" i="7" s="1"/>
  <c r="D74" i="7"/>
  <c r="E81" i="7"/>
  <c r="G83" i="7"/>
  <c r="Q83" i="7" s="1"/>
  <c r="D86" i="7"/>
  <c r="C53" i="2" l="1"/>
  <c r="M53" i="2" s="1"/>
  <c r="P53" i="2"/>
  <c r="C76" i="6"/>
  <c r="Q37" i="4"/>
  <c r="C37" i="4"/>
  <c r="M37" i="4" s="1"/>
  <c r="C52" i="5"/>
  <c r="C84" i="7"/>
  <c r="P60" i="7"/>
  <c r="C60" i="7"/>
  <c r="M60" i="7" s="1"/>
  <c r="C79" i="7"/>
  <c r="C57" i="7"/>
  <c r="C85" i="5"/>
  <c r="C74" i="5"/>
  <c r="M74" i="5" s="1"/>
  <c r="P74" i="5"/>
  <c r="C85" i="7"/>
  <c r="C42" i="3"/>
  <c r="C40" i="4"/>
  <c r="M40" i="4" s="1"/>
  <c r="P47" i="3"/>
  <c r="C47" i="3"/>
  <c r="M47" i="3" s="1"/>
  <c r="C73" i="7"/>
  <c r="C55" i="7"/>
  <c r="M55" i="7" s="1"/>
  <c r="P55" i="7"/>
  <c r="C47" i="6"/>
  <c r="C61" i="7"/>
  <c r="C79" i="5"/>
  <c r="C60" i="4"/>
  <c r="P33" i="3"/>
  <c r="C33" i="3"/>
  <c r="M33" i="3" s="1"/>
  <c r="C36" i="3"/>
  <c r="C61" i="4"/>
  <c r="M61" i="4" s="1"/>
  <c r="P61" i="4"/>
  <c r="C43" i="2"/>
  <c r="C77" i="6"/>
  <c r="M77" i="6" s="1"/>
  <c r="P77" i="6"/>
  <c r="C46" i="4"/>
  <c r="C76" i="5"/>
  <c r="C53" i="6"/>
  <c r="C74" i="6"/>
  <c r="C59" i="2"/>
  <c r="C60" i="5"/>
  <c r="C59" i="4"/>
  <c r="C42" i="4"/>
  <c r="C65" i="5"/>
  <c r="M65" i="5" s="1"/>
  <c r="P65" i="5"/>
  <c r="C58" i="4"/>
  <c r="C48" i="7"/>
  <c r="C54" i="2"/>
  <c r="C44" i="2"/>
  <c r="C52" i="7"/>
  <c r="C77" i="7"/>
  <c r="C64" i="5"/>
  <c r="C62" i="5"/>
  <c r="C86" i="5"/>
  <c r="C78" i="5"/>
  <c r="P83" i="6"/>
  <c r="C83" i="6"/>
  <c r="M83" i="6" s="1"/>
  <c r="C49" i="7"/>
  <c r="C53" i="4"/>
  <c r="C50" i="2"/>
  <c r="C56" i="3"/>
  <c r="C48" i="4"/>
  <c r="M48" i="4" s="1"/>
  <c r="P84" i="5"/>
  <c r="C84" i="5"/>
  <c r="M84" i="5" s="1"/>
  <c r="C63" i="6"/>
  <c r="M63" i="6" s="1"/>
  <c r="P63" i="6"/>
  <c r="P72" i="7"/>
  <c r="C72" i="7"/>
  <c r="M72" i="7" s="1"/>
  <c r="P50" i="6"/>
  <c r="C50" i="6"/>
  <c r="M50" i="6" s="1"/>
  <c r="P70" i="6"/>
  <c r="C70" i="6"/>
  <c r="M70" i="6" s="1"/>
  <c r="C61" i="6"/>
  <c r="C81" i="5"/>
  <c r="C57" i="5"/>
  <c r="M57" i="5" s="1"/>
  <c r="P57" i="5"/>
  <c r="C45" i="3"/>
  <c r="C57" i="4"/>
  <c r="C52" i="6"/>
  <c r="M52" i="6" s="1"/>
  <c r="P52" i="6"/>
  <c r="C45" i="4"/>
  <c r="M45" i="4" s="1"/>
  <c r="P45" i="4"/>
  <c r="C51" i="4"/>
  <c r="M51" i="4" s="1"/>
  <c r="P51" i="4"/>
  <c r="P64" i="4"/>
  <c r="C64" i="4"/>
  <c r="M64" i="4" s="1"/>
  <c r="C34" i="3"/>
  <c r="M34" i="3" s="1"/>
  <c r="P34" i="3"/>
  <c r="C75" i="7"/>
  <c r="M75" i="7" s="1"/>
  <c r="P75" i="7"/>
  <c r="P51" i="6"/>
  <c r="C51" i="6"/>
  <c r="M51" i="6" s="1"/>
  <c r="C88" i="5"/>
  <c r="M88" i="5" s="1"/>
  <c r="P88" i="5"/>
  <c r="C59" i="6"/>
  <c r="C63" i="4"/>
  <c r="C72" i="5"/>
  <c r="C54" i="3"/>
  <c r="M54" i="3" s="1"/>
  <c r="C68" i="5"/>
  <c r="M68" i="5" s="1"/>
  <c r="P68" i="5"/>
  <c r="C51" i="2"/>
  <c r="M51" i="2" s="1"/>
  <c r="P51" i="2"/>
  <c r="C67" i="7"/>
  <c r="C69" i="5"/>
  <c r="C47" i="2"/>
  <c r="C54" i="4"/>
  <c r="M54" i="4" s="1"/>
  <c r="C86" i="7"/>
  <c r="C58" i="6"/>
  <c r="P82" i="7"/>
  <c r="C82" i="7"/>
  <c r="M82" i="7" s="1"/>
  <c r="C72" i="6"/>
  <c r="C76" i="7"/>
  <c r="C63" i="7"/>
  <c r="C80" i="5"/>
  <c r="C39" i="2"/>
  <c r="C41" i="4"/>
  <c r="C56" i="2"/>
  <c r="C56"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4" authorId="0" shapeId="0" xr:uid="{00000000-0006-0000-0100-000001000000}">
      <text>
        <r>
          <rPr>
            <sz val="10"/>
            <color rgb="FF000000"/>
            <rFont val="Arial"/>
          </rPr>
          <t>Essential Skill Score (a total of each of the assessment factors)</t>
        </r>
      </text>
    </comment>
    <comment ref="F4" authorId="0" shapeId="0" xr:uid="{00000000-0006-0000-0100-000002000000}">
      <text>
        <r>
          <rPr>
            <sz val="10"/>
            <color rgb="FF000000"/>
            <rFont val="Arial"/>
          </rPr>
          <t>Readiness Standard
For the next level learning</t>
        </r>
      </text>
    </comment>
    <comment ref="G4" authorId="0" shapeId="0" xr:uid="{00000000-0006-0000-0100-000003000000}">
      <text>
        <r>
          <rPr>
            <sz val="10"/>
            <color rgb="FF000000"/>
            <rFont val="Arial"/>
          </rPr>
          <t xml:space="preserve">Endurance Standard
Concepts and skills that last over time
</t>
        </r>
      </text>
    </comment>
    <comment ref="H4" authorId="0" shapeId="0" xr:uid="{00000000-0006-0000-0100-000004000000}">
      <text>
        <r>
          <rPr>
            <sz val="10"/>
            <color rgb="FF000000"/>
            <rFont val="Arial"/>
          </rPr>
          <t xml:space="preserve">Assessment Standard
The likelyhood that the standard will be assessed on standardized test
</t>
        </r>
      </text>
    </comment>
    <comment ref="I4" authorId="0" shapeId="0" xr:uid="{00000000-0006-0000-0100-000005000000}">
      <text>
        <r>
          <rPr>
            <sz val="10"/>
            <color rgb="FF000000"/>
            <rFont val="Arial"/>
          </rPr>
          <t>Leverage Standard
Crossover application to other areas</t>
        </r>
      </text>
    </comment>
    <comment ref="C34" authorId="0" shapeId="0" xr:uid="{00000000-0006-0000-0100-000006000000}">
      <text>
        <r>
          <rPr>
            <sz val="10"/>
            <color rgb="FF000000"/>
            <rFont val="Arial"/>
          </rPr>
          <t>Essential Skill Score (a total of each of the assessment factors)</t>
        </r>
      </text>
    </comment>
    <comment ref="F34" authorId="0" shapeId="0" xr:uid="{00000000-0006-0000-0100-000007000000}">
      <text>
        <r>
          <rPr>
            <sz val="10"/>
            <color rgb="FF000000"/>
            <rFont val="Arial"/>
          </rPr>
          <t>Readiness Standard
For the next level learning</t>
        </r>
      </text>
    </comment>
    <comment ref="G34" authorId="0" shapeId="0" xr:uid="{00000000-0006-0000-0100-000008000000}">
      <text>
        <r>
          <rPr>
            <sz val="10"/>
            <color rgb="FF000000"/>
            <rFont val="Arial"/>
          </rPr>
          <t xml:space="preserve">Endurance Standard
Concepts and skills that last over time
</t>
        </r>
      </text>
    </comment>
    <comment ref="H34" authorId="0" shapeId="0" xr:uid="{00000000-0006-0000-0100-000009000000}">
      <text>
        <r>
          <rPr>
            <sz val="10"/>
            <color rgb="FF000000"/>
            <rFont val="Arial"/>
          </rPr>
          <t xml:space="preserve">Assessment Standard
The likelyhood that the standard will be assessed on standardized test
</t>
        </r>
      </text>
    </comment>
    <comment ref="I34" authorId="0" shapeId="0" xr:uid="{00000000-0006-0000-0100-00000A000000}">
      <text>
        <r>
          <rPr>
            <sz val="10"/>
            <color rgb="FF000000"/>
            <rFont val="Arial"/>
          </rPr>
          <t>Leverage Standard
Crossover application to other areas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C4" authorId="0" shapeId="0" xr:uid="{00000000-0006-0000-0200-000001000000}">
      <text>
        <r>
          <rPr>
            <sz val="10"/>
            <color rgb="FF000000"/>
            <rFont val="Arial"/>
          </rPr>
          <t>Essential Skill Score (a total of each of the assessment factors)</t>
        </r>
      </text>
    </comment>
    <comment ref="F4" authorId="0" shapeId="0" xr:uid="{00000000-0006-0000-0200-000002000000}">
      <text>
        <r>
          <rPr>
            <sz val="10"/>
            <color rgb="FF000000"/>
            <rFont val="Arial"/>
          </rPr>
          <t>Readiness Standard
For the next level learning</t>
        </r>
      </text>
    </comment>
    <comment ref="G4" authorId="0" shapeId="0" xr:uid="{00000000-0006-0000-0200-000003000000}">
      <text>
        <r>
          <rPr>
            <sz val="10"/>
            <color rgb="FF000000"/>
            <rFont val="Arial"/>
          </rPr>
          <t xml:space="preserve">Endurance Standard
Concepts and skills that last over time
</t>
        </r>
      </text>
    </comment>
    <comment ref="H4" authorId="0" shapeId="0" xr:uid="{00000000-0006-0000-0200-000004000000}">
      <text>
        <r>
          <rPr>
            <sz val="10"/>
            <color rgb="FF000000"/>
            <rFont val="Arial"/>
          </rPr>
          <t xml:space="preserve">Assessment Standard
The likelyhood that the standard will be assessed on standardized test
</t>
        </r>
      </text>
    </comment>
    <comment ref="I4" authorId="0" shapeId="0" xr:uid="{00000000-0006-0000-0200-000005000000}">
      <text>
        <r>
          <rPr>
            <sz val="10"/>
            <color rgb="FF000000"/>
            <rFont val="Arial"/>
          </rPr>
          <t>Leverage Standard
Crossover application to other areas</t>
        </r>
      </text>
    </comment>
    <comment ref="K12" authorId="0" shapeId="0" xr:uid="{00000000-0006-0000-0200-00000B000000}">
      <text>
        <r>
          <rPr>
            <sz val="10"/>
            <color rgb="FF000000"/>
            <rFont val="Arial"/>
          </rPr>
          <t>@mnelson@sdale.org I just want to clarify ... you all marked E and L on this, but justified for A.  Be sure to mark the areas that apply as well as provide the justification.  Will you all be able to finish by Friday?
_Assigned to Monica Nelson_
	-Regina Stewman
Thank you for catching that. We are hoping to finish by Friday. I believe in us ;)
	-WENDI PITTMAN</t>
        </r>
      </text>
    </comment>
    <comment ref="C32" authorId="0" shapeId="0" xr:uid="{00000000-0006-0000-0200-000006000000}">
      <text>
        <r>
          <rPr>
            <sz val="10"/>
            <color rgb="FF000000"/>
            <rFont val="Arial"/>
          </rPr>
          <t>Essential Skill Score (a total of each of the assessment factors)</t>
        </r>
      </text>
    </comment>
    <comment ref="F32" authorId="0" shapeId="0" xr:uid="{00000000-0006-0000-0200-000007000000}">
      <text>
        <r>
          <rPr>
            <sz val="10"/>
            <color rgb="FF000000"/>
            <rFont val="Arial"/>
          </rPr>
          <t>Readiness Standard
For the next level learning</t>
        </r>
      </text>
    </comment>
    <comment ref="G32" authorId="0" shapeId="0" xr:uid="{00000000-0006-0000-0200-000008000000}">
      <text>
        <r>
          <rPr>
            <sz val="10"/>
            <color rgb="FF000000"/>
            <rFont val="Arial"/>
          </rPr>
          <t xml:space="preserve">Endurance Standard
Concepts and skills that last over time
</t>
        </r>
      </text>
    </comment>
    <comment ref="H32" authorId="0" shapeId="0" xr:uid="{00000000-0006-0000-0200-000009000000}">
      <text>
        <r>
          <rPr>
            <sz val="10"/>
            <color rgb="FF000000"/>
            <rFont val="Arial"/>
          </rPr>
          <t xml:space="preserve">Assessment Standard
The likelyhood that the standard will be assessed on standardized test
</t>
        </r>
      </text>
    </comment>
    <comment ref="I32" authorId="0" shapeId="0" xr:uid="{00000000-0006-0000-0200-00000A000000}">
      <text>
        <r>
          <rPr>
            <sz val="10"/>
            <color rgb="FF000000"/>
            <rFont val="Arial"/>
          </rPr>
          <t>Leverage Standard
Crossover application to other areas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C4" authorId="0" shapeId="0" xr:uid="{00000000-0006-0000-0300-000001000000}">
      <text>
        <r>
          <rPr>
            <sz val="10"/>
            <color rgb="FF000000"/>
            <rFont val="Arial"/>
          </rPr>
          <t>Essential Skill Score (a total of each of the assessment factors)</t>
        </r>
      </text>
    </comment>
    <comment ref="F4" authorId="0" shapeId="0" xr:uid="{00000000-0006-0000-0300-000002000000}">
      <text>
        <r>
          <rPr>
            <sz val="10"/>
            <color rgb="FF000000"/>
            <rFont val="Arial"/>
          </rPr>
          <t>Readiness Standard
For the next level learning</t>
        </r>
      </text>
    </comment>
    <comment ref="G4" authorId="0" shapeId="0" xr:uid="{00000000-0006-0000-0300-000003000000}">
      <text>
        <r>
          <rPr>
            <sz val="10"/>
            <color rgb="FF000000"/>
            <rFont val="Arial"/>
          </rPr>
          <t xml:space="preserve">Endurance Standard
Concepts and skills that last over time
</t>
        </r>
      </text>
    </comment>
    <comment ref="H4" authorId="0" shapeId="0" xr:uid="{00000000-0006-0000-0300-000004000000}">
      <text>
        <r>
          <rPr>
            <sz val="10"/>
            <color rgb="FF000000"/>
            <rFont val="Arial"/>
          </rPr>
          <t xml:space="preserve">Assessment Standard
The likelyhood that the standard will be assessed on standardized test
</t>
        </r>
      </text>
    </comment>
    <comment ref="I4" authorId="0" shapeId="0" xr:uid="{00000000-0006-0000-0300-000005000000}">
      <text>
        <r>
          <rPr>
            <sz val="10"/>
            <color rgb="FF000000"/>
            <rFont val="Arial"/>
          </rPr>
          <t>Leverage Standard
Crossover application to other areas</t>
        </r>
      </text>
    </comment>
    <comment ref="K5" authorId="0" shapeId="0" xr:uid="{00000000-0006-0000-0300-00000B000000}">
      <text>
        <r>
          <rPr>
            <sz val="10"/>
            <color rgb="FF000000"/>
            <rFont val="Arial"/>
          </rPr>
          <t>@mfoltz@sdale.org make sure you all denote R, E, A, &amp; L.  It looks like several are represented, but be sure your team denotes each one.
_Assigned to MOIRA FOLTZ_
	-Regina Stewman
Okay  will do.
	-MOIRA FOLTZ</t>
        </r>
      </text>
    </comment>
    <comment ref="C36" authorId="0" shapeId="0" xr:uid="{00000000-0006-0000-0300-000006000000}">
      <text>
        <r>
          <rPr>
            <sz val="10"/>
            <color rgb="FF000000"/>
            <rFont val="Arial"/>
          </rPr>
          <t>Essential Skill Score (a total of each of the assessment factors)</t>
        </r>
      </text>
    </comment>
    <comment ref="F36" authorId="0" shapeId="0" xr:uid="{00000000-0006-0000-0300-000007000000}">
      <text>
        <r>
          <rPr>
            <sz val="10"/>
            <color rgb="FF000000"/>
            <rFont val="Arial"/>
          </rPr>
          <t>Readiness Standard
For the next level learning</t>
        </r>
      </text>
    </comment>
    <comment ref="G36" authorId="0" shapeId="0" xr:uid="{00000000-0006-0000-0300-000008000000}">
      <text>
        <r>
          <rPr>
            <sz val="10"/>
            <color rgb="FF000000"/>
            <rFont val="Arial"/>
          </rPr>
          <t xml:space="preserve">Endurance Standard
Concepts and skills that last over time
</t>
        </r>
      </text>
    </comment>
    <comment ref="H36" authorId="0" shapeId="0" xr:uid="{00000000-0006-0000-0300-000009000000}">
      <text>
        <r>
          <rPr>
            <sz val="10"/>
            <color rgb="FF000000"/>
            <rFont val="Arial"/>
          </rPr>
          <t xml:space="preserve">Assessment Standard
The likelyhood that the standard will be assessed on standardized test
</t>
        </r>
      </text>
    </comment>
    <comment ref="I36" authorId="0" shapeId="0" xr:uid="{00000000-0006-0000-0300-00000A000000}">
      <text>
        <r>
          <rPr>
            <sz val="10"/>
            <color rgb="FF000000"/>
            <rFont val="Arial"/>
          </rPr>
          <t>Leverage Standard
Crossover application to other areas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C4" authorId="0" shapeId="0" xr:uid="{00000000-0006-0000-0400-000001000000}">
      <text>
        <r>
          <rPr>
            <sz val="10"/>
            <color rgb="FF000000"/>
            <rFont val="Arial"/>
          </rPr>
          <t>Essential Skill Score (a total of each of the assessment factors)</t>
        </r>
      </text>
    </comment>
    <comment ref="F4" authorId="0" shapeId="0" xr:uid="{00000000-0006-0000-0400-000002000000}">
      <text>
        <r>
          <rPr>
            <sz val="10"/>
            <color rgb="FF000000"/>
            <rFont val="Arial"/>
          </rPr>
          <t>Readiness Standard
For the next level learning</t>
        </r>
      </text>
    </comment>
    <comment ref="G4" authorId="0" shapeId="0" xr:uid="{00000000-0006-0000-0400-000003000000}">
      <text>
        <r>
          <rPr>
            <sz val="10"/>
            <color rgb="FF000000"/>
            <rFont val="Arial"/>
          </rPr>
          <t xml:space="preserve">Endurance Standard
Concepts and skills that last over time
</t>
        </r>
      </text>
    </comment>
    <comment ref="H4" authorId="0" shapeId="0" xr:uid="{00000000-0006-0000-0400-000004000000}">
      <text>
        <r>
          <rPr>
            <sz val="10"/>
            <color rgb="FF000000"/>
            <rFont val="Arial"/>
          </rPr>
          <t xml:space="preserve">Assessment Standard
The likelyhood that the standard will be assessed on standardized test
</t>
        </r>
      </text>
    </comment>
    <comment ref="I4" authorId="0" shapeId="0" xr:uid="{00000000-0006-0000-0400-000005000000}">
      <text>
        <r>
          <rPr>
            <sz val="10"/>
            <color rgb="FF000000"/>
            <rFont val="Arial"/>
          </rPr>
          <t>Leverage Standard
Crossover application to other areas</t>
        </r>
      </text>
    </comment>
    <comment ref="C48" authorId="0" shapeId="0" xr:uid="{00000000-0006-0000-0400-000006000000}">
      <text>
        <r>
          <rPr>
            <sz val="10"/>
            <color rgb="FF000000"/>
            <rFont val="Arial"/>
          </rPr>
          <t>Essential Skill Score (a total of each of the assessment factors)</t>
        </r>
      </text>
    </comment>
    <comment ref="F48" authorId="0" shapeId="0" xr:uid="{00000000-0006-0000-0400-000007000000}">
      <text>
        <r>
          <rPr>
            <sz val="10"/>
            <color rgb="FF000000"/>
            <rFont val="Arial"/>
          </rPr>
          <t>Readiness Standard
For the next level learning</t>
        </r>
      </text>
    </comment>
    <comment ref="G48" authorId="0" shapeId="0" xr:uid="{00000000-0006-0000-0400-000008000000}">
      <text>
        <r>
          <rPr>
            <sz val="10"/>
            <color rgb="FF000000"/>
            <rFont val="Arial"/>
          </rPr>
          <t xml:space="preserve">Endurance Standard
Concepts and skills that last over time
</t>
        </r>
      </text>
    </comment>
    <comment ref="H48" authorId="0" shapeId="0" xr:uid="{00000000-0006-0000-0400-000009000000}">
      <text>
        <r>
          <rPr>
            <sz val="10"/>
            <color rgb="FF000000"/>
            <rFont val="Arial"/>
          </rPr>
          <t xml:space="preserve">Assessment Standard
The likelyhood that the standard will be assessed on standardized test
</t>
        </r>
      </text>
    </comment>
    <comment ref="I48" authorId="0" shapeId="0" xr:uid="{00000000-0006-0000-0400-00000A000000}">
      <text>
        <r>
          <rPr>
            <sz val="10"/>
            <color rgb="FF000000"/>
            <rFont val="Arial"/>
          </rPr>
          <t>Leverage Standard
Crossover application to other areas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authors>
  <commentList>
    <comment ref="C4" authorId="0" shapeId="0" xr:uid="{00000000-0006-0000-0500-000001000000}">
      <text>
        <r>
          <rPr>
            <sz val="10"/>
            <color rgb="FF000000"/>
            <rFont val="Arial"/>
          </rPr>
          <t>Essential Skill Score (a total of each of the assessment factors)</t>
        </r>
      </text>
    </comment>
    <comment ref="F4" authorId="0" shapeId="0" xr:uid="{00000000-0006-0000-0500-000002000000}">
      <text>
        <r>
          <rPr>
            <sz val="10"/>
            <color rgb="FF000000"/>
            <rFont val="Arial"/>
          </rPr>
          <t>Readiness Standard
For the next level learning</t>
        </r>
      </text>
    </comment>
    <comment ref="G4" authorId="0" shapeId="0" xr:uid="{00000000-0006-0000-0500-000003000000}">
      <text>
        <r>
          <rPr>
            <sz val="10"/>
            <color rgb="FF000000"/>
            <rFont val="Arial"/>
          </rPr>
          <t xml:space="preserve">Endurance Standard
Concepts and skills that last over time
</t>
        </r>
      </text>
    </comment>
    <comment ref="H4" authorId="0" shapeId="0" xr:uid="{00000000-0006-0000-0500-000004000000}">
      <text>
        <r>
          <rPr>
            <sz val="10"/>
            <color rgb="FF000000"/>
            <rFont val="Arial"/>
          </rPr>
          <t xml:space="preserve">Assessment Standard
The likelihood that the standard will be assessed on standardized test
</t>
        </r>
      </text>
    </comment>
    <comment ref="I4" authorId="0" shapeId="0" xr:uid="{00000000-0006-0000-0500-000005000000}">
      <text>
        <r>
          <rPr>
            <sz val="10"/>
            <color rgb="FF000000"/>
            <rFont val="Arial"/>
          </rPr>
          <t>Leverage Standard
Crossover application to other areas</t>
        </r>
      </text>
    </comment>
    <comment ref="C46" authorId="0" shapeId="0" xr:uid="{00000000-0006-0000-0500-000006000000}">
      <text>
        <r>
          <rPr>
            <sz val="10"/>
            <color rgb="FF000000"/>
            <rFont val="Arial"/>
          </rPr>
          <t>Essential Skill Score (a total of each of the assessment factors)</t>
        </r>
      </text>
    </comment>
    <comment ref="F46" authorId="0" shapeId="0" xr:uid="{00000000-0006-0000-0500-000007000000}">
      <text>
        <r>
          <rPr>
            <sz val="10"/>
            <color rgb="FF000000"/>
            <rFont val="Arial"/>
          </rPr>
          <t>Readiness Standard
For the next level learning</t>
        </r>
      </text>
    </comment>
    <comment ref="G46" authorId="0" shapeId="0" xr:uid="{00000000-0006-0000-0500-000008000000}">
      <text>
        <r>
          <rPr>
            <sz val="10"/>
            <color rgb="FF000000"/>
            <rFont val="Arial"/>
          </rPr>
          <t xml:space="preserve">Endurance Standard
Concepts and skills that last over time
</t>
        </r>
      </text>
    </comment>
    <comment ref="H46" authorId="0" shapeId="0" xr:uid="{00000000-0006-0000-0500-000009000000}">
      <text>
        <r>
          <rPr>
            <sz val="10"/>
            <color rgb="FF000000"/>
            <rFont val="Arial"/>
          </rPr>
          <t xml:space="preserve">Assessment Standard
The likelyhood that the standard will be assessed on standardized test
</t>
        </r>
      </text>
    </comment>
    <comment ref="I46" authorId="0" shapeId="0" xr:uid="{00000000-0006-0000-0500-00000A000000}">
      <text>
        <r>
          <rPr>
            <sz val="10"/>
            <color rgb="FF000000"/>
            <rFont val="Arial"/>
          </rPr>
          <t>Leverage Standard
Crossover application to other areas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
  </authors>
  <commentList>
    <comment ref="C4" authorId="0" shapeId="0" xr:uid="{00000000-0006-0000-0600-000001000000}">
      <text>
        <r>
          <rPr>
            <sz val="10"/>
            <color rgb="FF000000"/>
            <rFont val="Arial"/>
          </rPr>
          <t>Essential Skill Score (a total of each of the assessment factors)</t>
        </r>
      </text>
    </comment>
    <comment ref="F4" authorId="0" shapeId="0" xr:uid="{00000000-0006-0000-0600-000002000000}">
      <text>
        <r>
          <rPr>
            <sz val="10"/>
            <color rgb="FF000000"/>
            <rFont val="Arial"/>
          </rPr>
          <t>Readiness Standard
For the next level learning</t>
        </r>
      </text>
    </comment>
    <comment ref="G4" authorId="0" shapeId="0" xr:uid="{00000000-0006-0000-0600-000003000000}">
      <text>
        <r>
          <rPr>
            <sz val="10"/>
            <color rgb="FF000000"/>
            <rFont val="Arial"/>
          </rPr>
          <t xml:space="preserve">Endurance Standard
Concepts and skills that last over time
</t>
        </r>
      </text>
    </comment>
    <comment ref="H4" authorId="0" shapeId="0" xr:uid="{00000000-0006-0000-0600-000004000000}">
      <text>
        <r>
          <rPr>
            <sz val="10"/>
            <color rgb="FF000000"/>
            <rFont val="Arial"/>
          </rPr>
          <t xml:space="preserve">Assessment Standard
The likelyhood that the standard will be assessed on standardized test
</t>
        </r>
      </text>
    </comment>
    <comment ref="I4" authorId="0" shapeId="0" xr:uid="{00000000-0006-0000-0600-000005000000}">
      <text>
        <r>
          <rPr>
            <sz val="10"/>
            <color rgb="FF000000"/>
            <rFont val="Arial"/>
          </rPr>
          <t>Leverage Standard
Crossover application to other areas</t>
        </r>
      </text>
    </comment>
    <comment ref="C47" authorId="0" shapeId="0" xr:uid="{00000000-0006-0000-0600-000006000000}">
      <text>
        <r>
          <rPr>
            <sz val="10"/>
            <color rgb="FF000000"/>
            <rFont val="Arial"/>
          </rPr>
          <t>Essential Skill Score (a total of each of the assessment factors)</t>
        </r>
      </text>
    </comment>
    <comment ref="F47" authorId="0" shapeId="0" xr:uid="{00000000-0006-0000-0600-000007000000}">
      <text>
        <r>
          <rPr>
            <sz val="10"/>
            <color rgb="FF000000"/>
            <rFont val="Arial"/>
          </rPr>
          <t>Readiness Standard
For the next level learning</t>
        </r>
      </text>
    </comment>
    <comment ref="G47" authorId="0" shapeId="0" xr:uid="{00000000-0006-0000-0600-000008000000}">
      <text>
        <r>
          <rPr>
            <sz val="10"/>
            <color rgb="FF000000"/>
            <rFont val="Arial"/>
          </rPr>
          <t xml:space="preserve">Endurance Standard
Concepts and skills that last over time
</t>
        </r>
      </text>
    </comment>
    <comment ref="H47" authorId="0" shapeId="0" xr:uid="{00000000-0006-0000-0600-000009000000}">
      <text>
        <r>
          <rPr>
            <sz val="10"/>
            <color rgb="FF000000"/>
            <rFont val="Arial"/>
          </rPr>
          <t xml:space="preserve">Assessment Standard
The likelyhood that the standard will be assessed on standardized test
</t>
        </r>
      </text>
    </comment>
    <comment ref="I47" authorId="0" shapeId="0" xr:uid="{00000000-0006-0000-0600-00000A000000}">
      <text>
        <r>
          <rPr>
            <sz val="10"/>
            <color rgb="FF000000"/>
            <rFont val="Arial"/>
          </rPr>
          <t>Leverage Standard
Crossover application to other areas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
  </authors>
  <commentList>
    <comment ref="B3" authorId="0" shapeId="0" xr:uid="{00000000-0006-0000-0700-000001000000}">
      <text>
        <r>
          <rPr>
            <sz val="10"/>
            <color rgb="FF000000"/>
            <rFont val="Arial"/>
          </rPr>
          <t># of Assessment Factors</t>
        </r>
      </text>
    </comment>
    <comment ref="E3" authorId="0" shapeId="0" xr:uid="{00000000-0006-0000-0700-000002000000}">
      <text>
        <r>
          <rPr>
            <sz val="10"/>
            <color rgb="FF000000"/>
            <rFont val="Arial"/>
          </rPr>
          <t>Readiness Standard
For the next level learning</t>
        </r>
      </text>
    </comment>
    <comment ref="F3" authorId="0" shapeId="0" xr:uid="{00000000-0006-0000-0700-000003000000}">
      <text>
        <r>
          <rPr>
            <sz val="10"/>
            <color rgb="FF000000"/>
            <rFont val="Arial"/>
          </rPr>
          <t xml:space="preserve">Endurance Standard
Concepts and skills that last over time
</t>
        </r>
      </text>
    </comment>
    <comment ref="G3" authorId="0" shapeId="0" xr:uid="{00000000-0006-0000-0700-000004000000}">
      <text>
        <r>
          <rPr>
            <sz val="10"/>
            <color rgb="FF000000"/>
            <rFont val="Arial"/>
          </rPr>
          <t xml:space="preserve">Assessment Standard
The likelyhood that the standard will be assessed on standardized test
</t>
        </r>
      </text>
    </comment>
    <comment ref="H3" authorId="0" shapeId="0" xr:uid="{00000000-0006-0000-0700-000005000000}">
      <text>
        <r>
          <rPr>
            <sz val="10"/>
            <color rgb="FF000000"/>
            <rFont val="Arial"/>
          </rPr>
          <t>Leverage Standard
Crossover application to other areas</t>
        </r>
      </text>
    </comment>
    <comment ref="K3" authorId="0" shapeId="0" xr:uid="{00000000-0006-0000-0700-000006000000}">
      <text>
        <r>
          <rPr>
            <sz val="10"/>
            <color rgb="FF000000"/>
            <rFont val="Arial"/>
          </rPr>
          <t># of Assessment Factors</t>
        </r>
      </text>
    </comment>
    <comment ref="N3" authorId="0" shapeId="0" xr:uid="{00000000-0006-0000-0700-000007000000}">
      <text>
        <r>
          <rPr>
            <sz val="10"/>
            <color rgb="FF000000"/>
            <rFont val="Arial"/>
          </rPr>
          <t>Readiness Standard
For the next level learning</t>
        </r>
      </text>
    </comment>
    <comment ref="O3" authorId="0" shapeId="0" xr:uid="{00000000-0006-0000-0700-000008000000}">
      <text>
        <r>
          <rPr>
            <sz val="10"/>
            <color rgb="FF000000"/>
            <rFont val="Arial"/>
          </rPr>
          <t xml:space="preserve">Endurance Standard
Concepts and skills that last over time
</t>
        </r>
      </text>
    </comment>
    <comment ref="P3" authorId="0" shapeId="0" xr:uid="{00000000-0006-0000-0700-000009000000}">
      <text>
        <r>
          <rPr>
            <sz val="10"/>
            <color rgb="FF000000"/>
            <rFont val="Arial"/>
          </rPr>
          <t xml:space="preserve">Assessment Standard
The likelyhood that the standard will be assessed on standardized test
</t>
        </r>
      </text>
    </comment>
    <comment ref="Q3" authorId="0" shapeId="0" xr:uid="{00000000-0006-0000-0700-00000A000000}">
      <text>
        <r>
          <rPr>
            <sz val="10"/>
            <color rgb="FF000000"/>
            <rFont val="Arial"/>
          </rPr>
          <t>Leverage Standard
Crossover application to other areas</t>
        </r>
      </text>
    </comment>
    <comment ref="T3" authorId="0" shapeId="0" xr:uid="{00000000-0006-0000-0700-00000B000000}">
      <text>
        <r>
          <rPr>
            <sz val="10"/>
            <color rgb="FF000000"/>
            <rFont val="Arial"/>
          </rPr>
          <t># of Assessment Factors</t>
        </r>
      </text>
    </comment>
    <comment ref="W3" authorId="0" shapeId="0" xr:uid="{00000000-0006-0000-0700-00000C000000}">
      <text>
        <r>
          <rPr>
            <sz val="10"/>
            <color rgb="FF000000"/>
            <rFont val="Arial"/>
          </rPr>
          <t>Readiness Standard
For the next level learning</t>
        </r>
      </text>
    </comment>
    <comment ref="X3" authorId="0" shapeId="0" xr:uid="{00000000-0006-0000-0700-00000D000000}">
      <text>
        <r>
          <rPr>
            <sz val="10"/>
            <color rgb="FF000000"/>
            <rFont val="Arial"/>
          </rPr>
          <t xml:space="preserve">Endurance Standard
Concepts and skills that last over time
</t>
        </r>
      </text>
    </comment>
    <comment ref="Y3" authorId="0" shapeId="0" xr:uid="{00000000-0006-0000-0700-00000E000000}">
      <text>
        <r>
          <rPr>
            <sz val="10"/>
            <color rgb="FF000000"/>
            <rFont val="Arial"/>
          </rPr>
          <t xml:space="preserve">Assessment Standard
The likelyhood that the standard will be assessed on standardized test
</t>
        </r>
      </text>
    </comment>
    <comment ref="Z3" authorId="0" shapeId="0" xr:uid="{00000000-0006-0000-0700-00000F000000}">
      <text>
        <r>
          <rPr>
            <sz val="10"/>
            <color rgb="FF000000"/>
            <rFont val="Arial"/>
          </rPr>
          <t>Leverage Standard
Crossover application to other areas</t>
        </r>
      </text>
    </comment>
    <comment ref="AC3" authorId="0" shapeId="0" xr:uid="{00000000-0006-0000-0700-000010000000}">
      <text>
        <r>
          <rPr>
            <sz val="10"/>
            <color rgb="FF000000"/>
            <rFont val="Arial"/>
          </rPr>
          <t># of Assessment Factors</t>
        </r>
      </text>
    </comment>
    <comment ref="AF3" authorId="0" shapeId="0" xr:uid="{00000000-0006-0000-0700-000011000000}">
      <text>
        <r>
          <rPr>
            <sz val="10"/>
            <color rgb="FF000000"/>
            <rFont val="Arial"/>
          </rPr>
          <t>Readiness Standard
For the next level learning</t>
        </r>
      </text>
    </comment>
    <comment ref="AG3" authorId="0" shapeId="0" xr:uid="{00000000-0006-0000-0700-000012000000}">
      <text>
        <r>
          <rPr>
            <sz val="10"/>
            <color rgb="FF000000"/>
            <rFont val="Arial"/>
          </rPr>
          <t xml:space="preserve">Endurance Standard
Concepts and skills that last over time
</t>
        </r>
      </text>
    </comment>
    <comment ref="AH3" authorId="0" shapeId="0" xr:uid="{00000000-0006-0000-0700-000013000000}">
      <text>
        <r>
          <rPr>
            <sz val="10"/>
            <color rgb="FF000000"/>
            <rFont val="Arial"/>
          </rPr>
          <t xml:space="preserve">Assessment Standard
The likelyhood that the standard will be assessed on standardized test
</t>
        </r>
      </text>
    </comment>
    <comment ref="AI3" authorId="0" shapeId="0" xr:uid="{00000000-0006-0000-0700-000014000000}">
      <text>
        <r>
          <rPr>
            <sz val="10"/>
            <color rgb="FF000000"/>
            <rFont val="Arial"/>
          </rPr>
          <t>Leverage Standard
Crossover application to other areas</t>
        </r>
      </text>
    </comment>
    <comment ref="AL3" authorId="0" shapeId="0" xr:uid="{00000000-0006-0000-0700-000015000000}">
      <text>
        <r>
          <rPr>
            <sz val="10"/>
            <color rgb="FF000000"/>
            <rFont val="Arial"/>
          </rPr>
          <t># of Assessment Factors</t>
        </r>
      </text>
    </comment>
    <comment ref="AO3" authorId="0" shapeId="0" xr:uid="{00000000-0006-0000-0700-000016000000}">
      <text>
        <r>
          <rPr>
            <sz val="10"/>
            <color rgb="FF000000"/>
            <rFont val="Arial"/>
          </rPr>
          <t>Readiness Standard
For the next level learning</t>
        </r>
      </text>
    </comment>
    <comment ref="AP3" authorId="0" shapeId="0" xr:uid="{00000000-0006-0000-0700-000017000000}">
      <text>
        <r>
          <rPr>
            <sz val="10"/>
            <color rgb="FF000000"/>
            <rFont val="Arial"/>
          </rPr>
          <t xml:space="preserve">Endurance Standard
Concepts and skills that last over time
</t>
        </r>
      </text>
    </comment>
    <comment ref="AQ3" authorId="0" shapeId="0" xr:uid="{00000000-0006-0000-0700-000018000000}">
      <text>
        <r>
          <rPr>
            <sz val="10"/>
            <color rgb="FF000000"/>
            <rFont val="Arial"/>
          </rPr>
          <t xml:space="preserve">Assessment Standard
The likelyhood that the standard will be assessed on standardized test
</t>
        </r>
      </text>
    </comment>
    <comment ref="AR3" authorId="0" shapeId="0" xr:uid="{00000000-0006-0000-0700-000019000000}">
      <text>
        <r>
          <rPr>
            <sz val="10"/>
            <color rgb="FF000000"/>
            <rFont val="Arial"/>
          </rPr>
          <t>Leverage Standard
Crossover application to other areas</t>
        </r>
      </text>
    </comment>
    <comment ref="AU3" authorId="0" shapeId="0" xr:uid="{00000000-0006-0000-0700-00001A000000}">
      <text>
        <r>
          <rPr>
            <sz val="10"/>
            <color rgb="FF000000"/>
            <rFont val="Arial"/>
          </rPr>
          <t># of Assessment Factors</t>
        </r>
      </text>
    </comment>
    <comment ref="AX3" authorId="0" shapeId="0" xr:uid="{00000000-0006-0000-0700-00001B000000}">
      <text>
        <r>
          <rPr>
            <sz val="10"/>
            <color rgb="FF000000"/>
            <rFont val="Arial"/>
          </rPr>
          <t>Readiness Standard
For the next level learning</t>
        </r>
      </text>
    </comment>
    <comment ref="AY3" authorId="0" shapeId="0" xr:uid="{00000000-0006-0000-0700-00001C000000}">
      <text>
        <r>
          <rPr>
            <sz val="10"/>
            <color rgb="FF000000"/>
            <rFont val="Arial"/>
          </rPr>
          <t xml:space="preserve">Endurance Standard
Concepts and skills that last over time
</t>
        </r>
      </text>
    </comment>
    <comment ref="AZ3" authorId="0" shapeId="0" xr:uid="{00000000-0006-0000-0700-00001D000000}">
      <text>
        <r>
          <rPr>
            <sz val="10"/>
            <color rgb="FF000000"/>
            <rFont val="Arial"/>
          </rPr>
          <t xml:space="preserve">Assessment Standard
The likelyhood that the standard will be assessed on standardized test
</t>
        </r>
      </text>
    </comment>
    <comment ref="BA3" authorId="0" shapeId="0" xr:uid="{00000000-0006-0000-0700-00001E000000}">
      <text>
        <r>
          <rPr>
            <sz val="10"/>
            <color rgb="FF000000"/>
            <rFont val="Arial"/>
          </rPr>
          <t>Leverage Standard
Crossover application to other areas</t>
        </r>
      </text>
    </comment>
  </commentList>
</comments>
</file>

<file path=xl/sharedStrings.xml><?xml version="1.0" encoding="utf-8"?>
<sst xmlns="http://schemas.openxmlformats.org/spreadsheetml/2006/main" count="1258" uniqueCount="770">
  <si>
    <t>Welcome to the essential standards planning document for K-5 Math!  This document is meant to help teams develop a guaranteed and viable curriculum by choosing only standards that meet assessment criteria.</t>
  </si>
  <si>
    <r>
      <rPr>
        <b/>
        <sz val="12"/>
        <color rgb="FF000000"/>
        <rFont val="Droid Sans"/>
      </rPr>
      <t>During Phase 1</t>
    </r>
    <r>
      <rPr>
        <sz val="12"/>
        <color rgb="FF000000"/>
        <rFont val="Droid Sans"/>
      </rPr>
      <t xml:space="preserve"> teams evaluate each standard for readiness, endurance, assessment, and leverage. As they mark the relevant checkboxes the ESS. (essential score) will increase. Teams will also provide justification for their decisions.  Please only modify the light blue boxes in order to preserve the programmed functions.</t>
    </r>
  </si>
  <si>
    <t>If you want to show or hide different sections you can click on the +/- buttons on the left and upper margins of the document.</t>
  </si>
  <si>
    <r>
      <rPr>
        <b/>
        <sz val="12"/>
        <rFont val="Droid Sans"/>
      </rPr>
      <t>During Phase 2</t>
    </r>
    <r>
      <rPr>
        <sz val="12"/>
        <rFont val="Droid Sans"/>
      </rPr>
      <t xml:space="preserve"> teams will set a cutoff score that filters out only the most relevant standards (with higher ESS. scores).   After reviewing the recommended amount of standards, they will mark the essential standards they want to confirm in the blue checkboxes.</t>
    </r>
  </si>
  <si>
    <r>
      <rPr>
        <sz val="12"/>
        <rFont val="Droid Sans"/>
      </rPr>
      <t xml:space="preserve">The Math E.S. Vertical Report imports the essential standards selected by each team.  The +/- buttons allow teams to change the view to facilitate different discussions.  </t>
    </r>
    <r>
      <rPr>
        <b/>
        <sz val="12"/>
        <rFont val="Droid Sans"/>
      </rPr>
      <t>No cells on this sheet need to be modified.</t>
    </r>
  </si>
  <si>
    <t>The ACT Math Reference sheet synthesizes information from Acheivethecore.org to allow teams to see how math standards arrange vertically.  If a standard is found in the same row for different grades it indicates a high amount of endurance for a standard (it happens again and again over time).  It is also possible to determine readiness if a similar standard will occur in the next grade level.</t>
  </si>
  <si>
    <t>Click the minus sign to the left to hide the directions.</t>
  </si>
  <si>
    <t>Phase 1: AS A TEAM, evaluate each standard to see if it meets the assessment criteria.  If it meets a criteria click the checkbox to mark it as true.  Provide a justification and cite evidence for your decision to aid clarity with other teams. *Only modify blue cells*</t>
  </si>
  <si>
    <t>Kindergarten Math Standards</t>
  </si>
  <si>
    <t>Domains</t>
  </si>
  <si>
    <t>Ess.</t>
  </si>
  <si>
    <t>Standard</t>
  </si>
  <si>
    <t>Standard Description</t>
  </si>
  <si>
    <t>R</t>
  </si>
  <si>
    <t>E</t>
  </si>
  <si>
    <t>A</t>
  </si>
  <si>
    <t>L</t>
  </si>
  <si>
    <t>Justification</t>
  </si>
  <si>
    <t>Number Sense and Base Ten</t>
  </si>
  <si>
    <t>Work with numbers 11–19 to gain foundations for place value.</t>
  </si>
  <si>
    <t>K.NBT.A.1</t>
  </si>
  <si>
    <t>Compose and decompose numbers from 11 to 19 into ten ones and some further ones, e.g., by using objects or drawings, and record each composition or decomposition by a drawing or equation (such as 18 = 10 + 8); understand that these numbers are composed of ten ones and one, two, three, four, five, six, seven, eight, or nine ones.</t>
  </si>
  <si>
    <t xml:space="preserve">R- 1st grade will build upon this learning
E- PLace value will be taught and used across 
grade-levels
A-assessed on MAP
L- students will use this skill in skip counting, counting
addition, and subtraction </t>
  </si>
  <si>
    <t>Operations and Algebratic Thinking</t>
  </si>
  <si>
    <t>Understand addition, and understand subtraction.</t>
  </si>
  <si>
    <t>K.OA.A.1</t>
  </si>
  <si>
    <t>Represent addition and subtraction with objects, fingers, mental images, drawings, sounds (e.g., claps), acting out situations, verbal explanations, expressions, or equations.</t>
  </si>
  <si>
    <t>R- Students need to be able to know the operations /skills without the story problems
E- Students will use this skill when solving word problems and equations with numbers only.
A- assessed on MAP
L- This can be used in science when they are collecting data</t>
  </si>
  <si>
    <t>K.OA.A.2</t>
  </si>
  <si>
    <t>Solve addition and subtraction word problems, and add and subtract within 10, e.g., by using objects or drawings to represent the problem.</t>
  </si>
  <si>
    <t xml:space="preserve">R- 1st grade will build upon this learning
E- Addition &amp; subtraction  will be taught and used across 
grade-levels
A-assessed on MAP
L- students will use this skill in skip counting, counting
addition, and subtraction </t>
  </si>
  <si>
    <t>K.OA.A.3</t>
  </si>
  <si>
    <t>Decompose numbers less than or equal to 10 into pairs in more than one way, e.g., by using objects or drawings, and record each decomposition by a drawing or equation (e.g., 5 = 2 + 3 and 5 = 4 + 1).</t>
  </si>
  <si>
    <t xml:space="preserve">R- In first grade, they will decompose larger numbers above 10.
E- They will repeat this skill with larger numbers. </t>
  </si>
  <si>
    <t>K.OA.A.4</t>
  </si>
  <si>
    <t>For any number from 1 to 9, find the number that makes 10 when added to the given number, e.g., by using objects or drawings, and record the answer with a drawing or equation.</t>
  </si>
  <si>
    <t>E- This will become fluent and they will use it to solve problems faster</t>
  </si>
  <si>
    <t>K.OA.A.5</t>
  </si>
  <si>
    <t>Fluently add and subtract within 5.</t>
  </si>
  <si>
    <t>Geometry</t>
  </si>
  <si>
    <t>Identify and describe shapes.</t>
  </si>
  <si>
    <t>K.G.A.1</t>
  </si>
  <si>
    <t>Describe objects in the environment using names of shapes, and describe the relative positions of these objects using terms such as above, below, beside, in front of, behind, and next to.</t>
  </si>
  <si>
    <t>A- Students will see this on the MAP test</t>
  </si>
  <si>
    <t>K.G.A.2</t>
  </si>
  <si>
    <t>Correctly name shapes regardless of their orientations or overall size.</t>
  </si>
  <si>
    <t>K.G.A.3</t>
  </si>
  <si>
    <t>Identify shapes as two-dimensional (lying in a plane, “flat”) or three dimensional (“solid”).</t>
  </si>
  <si>
    <t xml:space="preserve">R- Students will use this knowledge to compose larger shapes in the next level of learning
A - this is on the MAP test
L - Art and science </t>
  </si>
  <si>
    <t>Analyze, compare, create, and compose shapes.</t>
  </si>
  <si>
    <t>K.G.B.4</t>
  </si>
  <si>
    <t>Analyze and compare two- and three dimensional shapes, in different sizes and orientations, using informal language to describe their similarities, differences, parts (e.g., number of sides and vertices/“corners”) and other attributes (e.g., having sides of equal length).</t>
  </si>
  <si>
    <t>L - Students will use these skills in art and science</t>
  </si>
  <si>
    <t>K.G.B.5</t>
  </si>
  <si>
    <t>Model shapes in the world by building shapes from components (e.g., sticks and clay balls) and drawing shapes.</t>
  </si>
  <si>
    <t>K.G.B.6</t>
  </si>
  <si>
    <t>Compose simple shapes to form larger shapes. For example, “Can you join these two triangles with full sides touching to make a rectangle?”</t>
  </si>
  <si>
    <t>Measurement and Data</t>
  </si>
  <si>
    <t>Describe and compare measurable attributes.</t>
  </si>
  <si>
    <t>K.MD.A.1</t>
  </si>
  <si>
    <t>Describe measurable attributes of objects, such as length or weight. Describe several measurable attributes of a single object.</t>
  </si>
  <si>
    <t>E- students will use this language in everyday life
A- MAP test
L- it will be used in science</t>
  </si>
  <si>
    <t>K.MD.A.2</t>
  </si>
  <si>
    <t>Directly compare two objects with a measurable attribute in common, to see which object has “more of”/“less of” the attribute, and describe the difference. For example, directly compare the heights of two children and describe one child as taller/ shorter.</t>
  </si>
  <si>
    <t>Classify objects and count the number of objects in each category.</t>
  </si>
  <si>
    <t>K.MD.B.3</t>
  </si>
  <si>
    <t>Classify objects into given categories; count the numbers of objects in each category and sort the categories by count.</t>
  </si>
  <si>
    <t>L- counting and sorting can be used in science</t>
  </si>
  <si>
    <t>Counting &amp; Cardinality</t>
  </si>
  <si>
    <t>Know number names and the count sequence.</t>
  </si>
  <si>
    <t>K.CC.A.1</t>
  </si>
  <si>
    <t>Count to 100 by ones and by tens.</t>
  </si>
  <si>
    <t xml:space="preserve">R- students will need to count to 120 in 1st grade.
E- They will need to use it for multiplication later on
A- Assessed on MAP
L- they may need to count data in science by 1's or 10's
</t>
  </si>
  <si>
    <t>K.CC.A.2</t>
  </si>
  <si>
    <t>Count forward beginning from a given number within the known sequence (instead of having to begin at 1).</t>
  </si>
  <si>
    <t>E- counting on will be used as students progress
L- counting is an essential part of life</t>
  </si>
  <si>
    <t>K.CC.A.3</t>
  </si>
  <si>
    <t>Write numbers from 0 to 20. Represent a number of objects with a written numeral 0–20 (with 0 representing a count of no objects).</t>
  </si>
  <si>
    <t>R- students will write numbers further than 20 
E- writing numbers occurs in reading, science, and writing
A- recognizing numbers occurs on MAP
L- Number are everywhere, and they can use them across many subjects!</t>
  </si>
  <si>
    <t>Count to tell the number of objects.</t>
  </si>
  <si>
    <t>K.CC.B.4</t>
  </si>
  <si>
    <t>Understand the relationship between numbers and quantities; connect counting to cardinality.</t>
  </si>
  <si>
    <t xml:space="preserve">R- students will not be able to be successful in any area of math unless they master this concept. 
E- students will be counting 1:1 during their whole math career.
L- they will use this in all content areas. </t>
  </si>
  <si>
    <t>K.CC.B.4a</t>
  </si>
  <si>
    <t>When counting objects, say the number names in the standard order, pairing each object with one and only one number name and each number name with one and only one object.</t>
  </si>
  <si>
    <t xml:space="preserve">R- students will not be able to be successful in any area of math unless they master this concept. 
E- students will be counting 1:1 during their whole math career.
A- assessed on MAP 
L- they will use this in all content areas. </t>
  </si>
  <si>
    <t>K.CC.B.4b</t>
  </si>
  <si>
    <t>Understand that the last number name said tells the number of objects counted. The number of objects is the same regardless of their arrangement or the order in which they were counted.</t>
  </si>
  <si>
    <t xml:space="preserve">R- students will always need this skill if they are counting.
L-counting is neccesary for other content areas. </t>
  </si>
  <si>
    <t>K.CC.B.4c</t>
  </si>
  <si>
    <t>Understand that each successive number name refers to a quantity that is one larger.</t>
  </si>
  <si>
    <t>R- students will always need this skill if they are counting.
L-counting is neccesary for other content areas.</t>
  </si>
  <si>
    <t>K.CC.B.5</t>
  </si>
  <si>
    <t>Count to answer “how many?” questions about as many as 20 things arranged in a line, a rectangular array, or a circle, or as many as 10 things in a scattered configuration; given a number from 1–20, count out that many objects.</t>
  </si>
  <si>
    <t xml:space="preserve">R- students will not be able to be successful in any area of math unless they master this concept. 
E- students will be counting throughout their math career. 
A- assessed on MAP 
L- they will use this in all content areas. </t>
  </si>
  <si>
    <t>Compare numbers.</t>
  </si>
  <si>
    <t>K.CC.C.6</t>
  </si>
  <si>
    <t>Identify whether the number of objects in one group is greater than, less than, or equal to the number of objects in another group, e.g., by using matching and counting strategies.</t>
  </si>
  <si>
    <t xml:space="preserve">E- students will need to know how to identify a group of obejects in future grades.
L- students will need to identify groups of objects in science. </t>
  </si>
  <si>
    <t>K.CC.C.7</t>
  </si>
  <si>
    <t>Compare two numbers between 1 and 10 presented as written numerals.</t>
  </si>
  <si>
    <t>E- students will do this with larger numbers in later grades
L- when comparing data in science, they will need this skill</t>
  </si>
  <si>
    <t>Current</t>
  </si>
  <si>
    <t>Phase 2:  Set a cutoff score to filter out only the most relevant standards.  The goal is to have no more than a third of your standards designated essential.  Refer to the chart on the right for recommendations. USE CHECKBOX ON RIGHT TO CONFIRM STANDARD. *Only modify blue cells*</t>
  </si>
  <si>
    <t>Total</t>
  </si>
  <si>
    <t>Recommended</t>
  </si>
  <si>
    <t>Set Cutoff Here-----------&gt;</t>
  </si>
  <si>
    <t>Potential Essential Standards</t>
  </si>
  <si>
    <t>Confirm</t>
  </si>
  <si>
    <t>1st Grade Math Standards</t>
  </si>
  <si>
    <t>Extend the counting sequence.</t>
  </si>
  <si>
    <t>1.NBT.A.1</t>
  </si>
  <si>
    <t>Count to 120, starting at any number less than 120. In this range, read and write numerals and represent a number of objects with a written numeral.</t>
  </si>
  <si>
    <t>R-This is a foundational skill, E- This is necessary to grow in math, A-This will be assesed, L-it will be used at one point or another in all subject areas</t>
  </si>
  <si>
    <t>Understand place value.</t>
  </si>
  <si>
    <t>1.NBT.B.2</t>
  </si>
  <si>
    <t>Understand that the two digits of a two-digit number represent amounts of tens and ones. Understand the following as special cases:</t>
  </si>
  <si>
    <t>R-This is a foundational skill, E-This is an essintial skill for composing and decomposing numbers, A-This is assessed.  L-future science</t>
  </si>
  <si>
    <t>1.NBT.B.2a</t>
  </si>
  <si>
    <t>10 can be thought of as a bundle of ten ones — called a “ten.”</t>
  </si>
  <si>
    <t>R-This is a necessary foundational skill in order to work with bigger numbers, E- This will be applied to many future math concepts. A-This is Assesed.</t>
  </si>
  <si>
    <t>1.NBT.B.2b</t>
  </si>
  <si>
    <t>The numbers from 11 to 19 are composed of a ten and one, two, three, four, five, six, seven, eight, or nine ones</t>
  </si>
  <si>
    <t>E-This will be applied to future math. A-This assesed.</t>
  </si>
  <si>
    <t>1.NBT.B.2c</t>
  </si>
  <si>
    <t>The numbers 10, 20, 30, 40, 50, 60, 70, 80, 90 refer to one, two, three, four, five, six, seven, eight, or nine tens (and 0 ones).</t>
  </si>
  <si>
    <t>E- This will be necessary in comporsing and decomposing numbers and addition/subtraction.  A-This is assessed</t>
  </si>
  <si>
    <t>1.NBT.B.3</t>
  </si>
  <si>
    <t>Compare two two-digit numbers based on meanings of the tens and ones digits, recording the results of comparisons with the symbols &gt;, =, and &lt;.</t>
  </si>
  <si>
    <t>R-This is a foundational skill. A-this is assessed.</t>
  </si>
  <si>
    <t>Use place value understanding and properties of operations to add and subtract.</t>
  </si>
  <si>
    <t>1.NBT.C.4</t>
  </si>
  <si>
    <t>Add within 100, including adding a two-digit number and a one-digit number, and adding a two-digit number and a multiple of 10, using concrete models or drawings and strategies based on place value, properties of operations, and/or the relationship between addition and subtraction; relate the strategy to a written method and explain the reasoning used. Understand that in adding two-digit numbers, one adds tens and tens, ones and ones; and sometimes it is necessary to compose a ten.</t>
  </si>
  <si>
    <t xml:space="preserve">R-This is a foundational skill that will be necessary for 2nd grade. E-This skill will be necessary for any future math. A- This is assessed. L-This will be used in science and social studies. </t>
  </si>
  <si>
    <t>1.NBT.C.5</t>
  </si>
  <si>
    <t>Given a two-digit number, mentally find 10 more or 10 less than the number, without having to count; explain the reasoning used.</t>
  </si>
  <si>
    <t>E- This will be very helpful as the math concepts go deeper and the numbers that are being worked with become larger.</t>
  </si>
  <si>
    <t>1.NBT.C.6</t>
  </si>
  <si>
    <t>Subtract multiples of 10 in the range 10-90 from multiples of 10 in the range 10–90 (positive or zero differences), using concrete models or drawings and strategies based on place value, properties of operations, and/or the relationship between addition and subtraction; relate the strategy to a written method and explain the reasoning used</t>
  </si>
  <si>
    <t>E-This will be applies when digging into deeper math equations. A-This is Assessed.</t>
  </si>
  <si>
    <t>Represent and solve problems involving addition and subtraction.</t>
  </si>
  <si>
    <t>1.OA.A.1</t>
  </si>
  <si>
    <t>Use addition and subtraction within 20 to solve word problems involving situations of adding to, taking from, putting together, taking apart, and comparing, with unknowns in all positions, e.g., by using objects, drawings, and equations with a symbol for the unknown number to represent the problem.</t>
  </si>
  <si>
    <t xml:space="preserve">E-This is a foundational skill that will be necessary in being able to do mental math. A-This is assessed. </t>
  </si>
  <si>
    <t>1.OA.A.2</t>
  </si>
  <si>
    <t>Solve word problems that call for addition of three whole numbers whose sum is less than or equal to 20, e.g., by using objects, drawings, and equations with a symbol for the unknown number to represent the problem.</t>
  </si>
  <si>
    <t>Understand and apply properties of operations and the relationship between addition and subtraction.</t>
  </si>
  <si>
    <t>1.OA.B.2</t>
  </si>
  <si>
    <t>Apply properties of operations as strategies to add and subtract. Examples: If 8 + 3 = 11 is known, then 3 + 8 = 11 is also known. (Commutative property of addition.) To add 2 + 6 + 4, the second two numbers can be added to make a ten, so 2 + 6 + 4 = 2 + 10 = 12. (Associative property of addition.)</t>
  </si>
  <si>
    <t xml:space="preserve">E-the communative property is necessary for deeper math and mental math. A-This is assessed. </t>
  </si>
  <si>
    <t>1.OA.B.4</t>
  </si>
  <si>
    <t>Understand subtraction as an unknown-addend problem. For example, subtract 10 – 8 by finding the number that makes 10 when added to 8.</t>
  </si>
  <si>
    <t xml:space="preserve">E-This will be necessary to simplify deeper math problems. A-This is assessed. </t>
  </si>
  <si>
    <t>Add and subtract within 20.</t>
  </si>
  <si>
    <t>1.OA.C.5</t>
  </si>
  <si>
    <t>Relate counting to addition and subtraction (e.g., by counting on 2 to add 2).</t>
  </si>
  <si>
    <t xml:space="preserve">R- This is a foundational skill. E-This is necessary in multiplication, division...ect. A- This is assessed. </t>
  </si>
  <si>
    <t>1.OA.C.6</t>
  </si>
  <si>
    <t>Add and subtract within 20, demonstrating fluency for addition and subtraction within 10.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t>
  </si>
  <si>
    <t>R-This is a foundational skill. E-This is necessary for deeper math. A-This is assessed. L-social studies</t>
  </si>
  <si>
    <t>Work with addition and subtraction equations.</t>
  </si>
  <si>
    <t>1.OA.D.7</t>
  </si>
  <si>
    <t>Understand the meaning of the equal sign, and determine if equations involving addition and subtraction are true or false. For example, which of the following equations are true and which are false? 6 = 6, 7 = 8 – 1, 5 + 2 = 2 + 5, 4 + 1 = 5 + 2.</t>
  </si>
  <si>
    <t>E-This will be necessary for all future math. A-This is assessed.</t>
  </si>
  <si>
    <t>1.OA.D.8</t>
  </si>
  <si>
    <t>Determine the unknown whole number in an addition or subtraction equation relating three whole numbers. For example, determine the unknown number that makes the equation true in each of the equations 8 + ? = 11, 5 = _ – 3, 6 + 6 = _.</t>
  </si>
  <si>
    <t>E-This is a very helpful skill when manipulating deeper math problems. A- This is assessed.</t>
  </si>
  <si>
    <t>Reason with shapes and their attributes.</t>
  </si>
  <si>
    <t>1.G.A.1</t>
  </si>
  <si>
    <t>Distinguish between defining attributes (e.g., triangles are closed and three-sided) versus non-defining attributes (e.g., color, orientation, overall size); build and draw shapes to possess defining attributes.</t>
  </si>
  <si>
    <t xml:space="preserve">A-This is assessed on the report card and Map. L-Geometry. </t>
  </si>
  <si>
    <t>1.G.A.2</t>
  </si>
  <si>
    <t>Compose two-dimensional shapes (rectangles, squares, trapezoids, triangles, half-circles, and quartercircles) or three-dimensional shapes (cubes, right rectangular prisms, right circular cones, and right circular cylinders) to create a composite shape, and compose new shapes from the composite shape</t>
  </si>
  <si>
    <t xml:space="preserve">E-This will be necessary to dig deeper into geometry. A-This is assessed. </t>
  </si>
  <si>
    <t>1.G.A.3</t>
  </si>
  <si>
    <t>Partition circles and rectangles into two and four equal shares, describe the shares using the words halves, fourths, and quarters, and use the phrases half of, fourth of, and quarter of. Describe the whole as two of, or four of the shares. Understand for these examples that decomposing into more equal shares creates smaller shares.</t>
  </si>
  <si>
    <t xml:space="preserve">E- This will be necessary in future math when learning fractions. A-This is assessed. </t>
  </si>
  <si>
    <t>Measure lengths indirectly and by iterating length units.</t>
  </si>
  <si>
    <t>1.MD.A.1</t>
  </si>
  <si>
    <t>Order three objects by length; compare the lengths of two objects indirectly by using a third object.</t>
  </si>
  <si>
    <t xml:space="preserve">E-This will be a necessary skill in order to measure to exact size. A-This is assessed on the report card and map test. L-This skill will be used in categorizing and grouping. </t>
  </si>
  <si>
    <t>1.MD.A.2</t>
  </si>
  <si>
    <t>Express the length of an object as a whole number of length units, by laying multiple copies of a shorter object (the length unit) end to end; understand that the length measurement of an object is the number of same-size length units that span it with no gaps or overlaps. Limit to contexts where the object being measured is spanned by a whole number of length units with no gaps or overlaps.</t>
  </si>
  <si>
    <t xml:space="preserve">R-This is a readiness standard. E-This will be necessary in learning to measure to approximity. A-This is assessed on the MAP test. L-This will be used in the future for social studies and geometry. </t>
  </si>
  <si>
    <t>Tell and write time.</t>
  </si>
  <si>
    <t>1.MD.B.3</t>
  </si>
  <si>
    <t>Tell and write time in hours and halfhours using analog and digital clocks.</t>
  </si>
  <si>
    <t>R- This is a readiness standard. E-This will be vauable knowledge when learning to tell time to the second. A-This is assessed on the Map test. L-This will be necessary in everyday life and in self pacing.</t>
  </si>
  <si>
    <t>Represent and interpret data.</t>
  </si>
  <si>
    <t>1.MD.C.4</t>
  </si>
  <si>
    <t>Organize, represent, and interpret data with up to three categories; ask and answer questions about the total number of data points, how many in each category, and how many more or less are in one category than in another.</t>
  </si>
  <si>
    <t xml:space="preserve">E-This is important for understanding tables. A-This is assessed. L-This will be used in science, social studies, reading... ect. </t>
  </si>
  <si>
    <t>2nd Grade Math Standards</t>
  </si>
  <si>
    <t>2.NBT.A.1</t>
  </si>
  <si>
    <t>Understand that the three digits of a three-digit number represent amounts of hundreds, tens, and ones; e.g., 706 equals 7 hundreds, 0 tens, and 6 ones. Understand the following as special cases:</t>
  </si>
  <si>
    <t>R-the basis for understanding addtion and 
subtraction L - apply to scienctific data 
collection. E-foundation for math &amp; science A -Will be assess on MAP.</t>
  </si>
  <si>
    <t>2.NBT.A.1a</t>
  </si>
  <si>
    <t>100 can be thought of as a bundle of ten tens — called a “hundred.”</t>
  </si>
  <si>
    <t xml:space="preserve">R - foundation for building number sense, E - Used 
to build place value and strategies to solve mathmetical 
equations. A - MAP </t>
  </si>
  <si>
    <t>2.NBT.A.1b</t>
  </si>
  <si>
    <t>The numbers 100, 200, 300, 400, 500, 600, 700, 800, 900 refer to one, two, three, four, five, six, seven, eight, or nine hundreds (and 0 tens and 0 ones)</t>
  </si>
  <si>
    <t>2.NBT.A.2</t>
  </si>
  <si>
    <t>Count within 1000; skip-count by 5s, 10s, and 100s.</t>
  </si>
  <si>
    <t>R - helps with repeated addition that relates to 
multiplication and division. E - skip counting prog
resses throughout the year as students grow 
into larger number sets
A-MAP   L-Reading logs monitoring your reading 
volume</t>
  </si>
  <si>
    <t>2.NBT.A.3</t>
  </si>
  <si>
    <t>Read and write numbers to 1000 using base-ten numerals, number names, and expanded form.</t>
  </si>
  <si>
    <t xml:space="preserve">R - assists with understanding of decomposition 
E - provides more strategy options for higher level thinking A - MAP
</t>
  </si>
  <si>
    <t>2.NBT.A.4</t>
  </si>
  <si>
    <t>Compare two three-digit numbers based on meanings of the hundreds, tens, and ones digits, using &gt;, =, and &lt; symbols to record the results of comparisons.</t>
  </si>
  <si>
    <t>R - exposure of foundational school for next year</t>
  </si>
  <si>
    <t>2.NBT.B.5</t>
  </si>
  <si>
    <t>Fluently add and subtract within 100 using strategies based on place value, properties of operations, and/or the relationship between addition and subtraction</t>
  </si>
  <si>
    <t xml:space="preserve">R - must be used when multipling/dividing and when 
completing 3rd grade expectations 
E - fluency progresses throughout the year as students grow 
into larger number sets
A-MAP   L- Science and data </t>
  </si>
  <si>
    <t>2.NBT.B.6</t>
  </si>
  <si>
    <t>Add up to four two-digit numbers using strategies based on place value and properties of operations.</t>
  </si>
  <si>
    <t>2.NBT.B.7</t>
  </si>
  <si>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</si>
  <si>
    <t>2.NBT.B.8</t>
  </si>
  <si>
    <t>Mentally add 10 or 100 to a given number 100–900, and mentally subtract 10 or 100 from a given number 100–900.</t>
  </si>
  <si>
    <t xml:space="preserve">R - fluent mathmaticians can be more successful and efficient
E - st's will be more successful in completing problems in 
showing higher level thinking strategies A - MAP </t>
  </si>
  <si>
    <t>2.NBT.B.9</t>
  </si>
  <si>
    <t>Explain why addition and subtraction strategies work, using place value and the properties of operations.</t>
  </si>
  <si>
    <t>2.OA.A.1</t>
  </si>
  <si>
    <t>Use addition and subtraction within 100 to solve one- and two-step word problems involving situations of adding to, taking from, putting together, taking apart, and comparing, with unknowns in all positions, e.g., by using drawings and equations with a symbol for the unknown number to represent the problem.</t>
  </si>
  <si>
    <t xml:space="preserve">R- the foundations of solving all problems, E- heavy 
in word problems in order to decipher what the problem
is asking of them and how they want to solve and used 
all real word situations A-MAP L - Science </t>
  </si>
  <si>
    <t>2.OA.B.2</t>
  </si>
  <si>
    <t>Fluently add and subtract within 20 using mental strategies. By end of Grade 2, know from memory all sums of two one-digit numbers.</t>
  </si>
  <si>
    <t xml:space="preserve">R - foundation for multiplication and division, 
E - needed for all future problems including real world
situations. L- used in science </t>
  </si>
  <si>
    <t>Work with equal groups of objects to gain foundations for multiplication.</t>
  </si>
  <si>
    <t>2.OA.C.3</t>
  </si>
  <si>
    <t>Determine whether a group of objects (up to 20) has an odd or even number of members, e.g., by pairing objects or counting them by 2s; write an equation to express an even number as a sum of two equal addends.</t>
  </si>
  <si>
    <t>2.OA.C.4</t>
  </si>
  <si>
    <t>Use addition to find the total number of objects arranged in rectangular arrays with up to 5 rows and up to 5 columns; write an equation to express the total as a sum of equal addends.</t>
  </si>
  <si>
    <t>R - exposure of foundational school for next 
E- builds for multiplication understanding for third 
grade</t>
  </si>
  <si>
    <t>2.G.A.1</t>
  </si>
  <si>
    <t>Recognize and draw shapes having specified attributes, such as a given number of angles or a given number of equal faces. Identify triangles, quadrilaterals, pentagons, hexagons, and cubes</t>
  </si>
  <si>
    <t>R- identification of shapes and attributes needed for 3rd grade
E - will continue building on this knowledge through the year and in future grades
A - MAP, L  - future geometry classes</t>
  </si>
  <si>
    <t>2.G.A.2</t>
  </si>
  <si>
    <t>Partition a rectangle into rows and columns of same-size squares and count to find the total number of them.</t>
  </si>
  <si>
    <t>2.G.A.3</t>
  </si>
  <si>
    <t>Partition circles and rectangles into two, three, or four equal shares, describe the shares using the words halves, thirds, half of, a third of, etc., and describe the whole as two halves, three thirds, four fourths. Recognize that equal shares of identical wholes need not have the same shape.</t>
  </si>
  <si>
    <t>R - continued exposure as needed to continuing progression. A - MAP</t>
  </si>
  <si>
    <t>Measure and estimate lengths in standard units.</t>
  </si>
  <si>
    <t>2.MD.A.1</t>
  </si>
  <si>
    <t>Measure the length of an object by selecting and using appropriate tools such as rulers, yardsticks, meter sticks, and measuring tapes.</t>
  </si>
  <si>
    <t>R - continued exposure as needed to continuing progression. A - MAP L- science</t>
  </si>
  <si>
    <t>2.MD.A.2</t>
  </si>
  <si>
    <t>Measure the length of an object twice, using length units of different lengths for the two measurements; describe how the two measurements relate to the size of the unit chosen.</t>
  </si>
  <si>
    <t>2.MD.A.3</t>
  </si>
  <si>
    <t>Estimate lengths using units of inches, feet, centimeters, and meters.</t>
  </si>
  <si>
    <t>2.MD.A.4</t>
  </si>
  <si>
    <t>Measure to determine how much longer one object is than another, expressing the length difference in terms of a standard length unit.</t>
  </si>
  <si>
    <t>Relate addition and subtraction to length.</t>
  </si>
  <si>
    <t>2.MD.B.5</t>
  </si>
  <si>
    <t>Use addition and subtraction within 100 to solve word problems involving lengths that are given in the same units, e.g., by using drawings (such as drawings of rulers) and equations with a symbol for the unknown number to represent the problem.</t>
  </si>
  <si>
    <t>2.MD.B.6</t>
  </si>
  <si>
    <t>Represent whole numbers as lengths from 0 on a number line diagram with equally spaced points corresponding to the numbers 0, 1, 2, ..., and represent whole-number sums and differences within 100 on a number line diagram.</t>
  </si>
  <si>
    <t>Work with time and money.</t>
  </si>
  <si>
    <t>2.MD.C.7</t>
  </si>
  <si>
    <t>Tell and write time from analog and digital clocks to the nearest five minutes, using a.m. and p.m.</t>
  </si>
  <si>
    <t>R - foundational skill needed to be able to tell time to nearest minute. E - everyday life skill. A - MAP. L - needed for multi-disciplines in the future</t>
  </si>
  <si>
    <t>2.MD.C.8</t>
  </si>
  <si>
    <t>Solve word problems involving dollar bills, quarters, dimes, nickels, and pennies, using $ and ¢ symbols appropriately. Example: If you have 2 dimes and 3 pennies, how many cents do you have?</t>
  </si>
  <si>
    <t>2.MD.D.9</t>
  </si>
  <si>
    <t>Generate measurement data by measuring lengths of several objects to the nearest whole unit, or by making repeated measurements of the same object. Show the measurements by making a line plot, where the horizontal scale is marked off in whole-number units</t>
  </si>
  <si>
    <t>2.MD.D.10</t>
  </si>
  <si>
    <t>Draw a picture graph and a bar graph (with single-unit scale) to represent a data set with up to four categories. Solve simple put-together, take-apart, and compare problems using information presented in a bar graph.</t>
  </si>
  <si>
    <t>R - foundation for real life situations with surveys and data collection. E - used throughout the year and in future grades for comparing data and developing solutions. A - MAP. L - Science and real life surveys and data collection in multiple disciplines</t>
  </si>
  <si>
    <t>3rd Grade Math Standards</t>
  </si>
  <si>
    <t>Use place value understanding and properties of operations to perform multi-digit arithmetic.</t>
  </si>
  <si>
    <t>3.NBT.A.1</t>
  </si>
  <si>
    <t>Use place value understanding to round whole numbers to the nearest 10 or 100</t>
  </si>
  <si>
    <t>R- 4.NBT.A.3 (round multi digit whole numbers), A-tested on MAP, L- rounding comes into play when spending money or budgeting</t>
  </si>
  <si>
    <t>3.NBT.A.2</t>
  </si>
  <si>
    <t>Fluently add and subtract within 1000 using strategies and algorithms based on place value, properties of operations, and/or the relationship between addition and subtraction.</t>
  </si>
  <si>
    <t>R-Fluently add and subtract multi-digit whole
 numbers using the standard algorithm (NBT.B.4).E-They
will use the standard Algorithm throughout
the whole year. A-They will see this on ACT Aspire.L-this
is used in Science too.</t>
  </si>
  <si>
    <t>3.NBT.A.3</t>
  </si>
  <si>
    <t>Multiply one-digit whole numbers by multiples of 10 in the range 10–90 (e.g., 9 × 80, 5 × 60) using strategies based on place value and properties of operations.</t>
  </si>
  <si>
    <t xml:space="preserve">R - students will use this to support 4.NB.T.B.5 in 4th grade. A- This strategy is used outside of an assessment and used to efficiently solve problems when using multiplication. </t>
  </si>
  <si>
    <t>3.NBT.A.4</t>
  </si>
  <si>
    <t>Understand that the four digits of a four-digit number represent amounts of thousands, hundreds, ten, and ones.</t>
  </si>
  <si>
    <t>R- Connects to 4th 4.NBT.A.3 so that students understand place value digits to round. E-students need to understand value of numbers for paychecks and bill pay</t>
  </si>
  <si>
    <t>3.NBT.A.5</t>
  </si>
  <si>
    <t>Read and write numbers to 10,000 using base-ten numerals, number names, and expanded form(s).</t>
  </si>
  <si>
    <t xml:space="preserve">R-connects to 4th, 4.NBT.A.2(part one)E-It is used
in multiple disciplines.  </t>
  </si>
  <si>
    <t>3.NBT.A.6</t>
  </si>
  <si>
    <t>Compare two four-digit numbers based on meanings of thousands, hundreds, tens, and ones digits using symbols to record the results of comparisons.</t>
  </si>
  <si>
    <t xml:space="preserve">R- connects to 4th 4.NBT.A.2
(Part Two) in which they have to compare multi digit numbers. E-can be used in multiple disciplines. </t>
  </si>
  <si>
    <t>Represent and solve problems involving multiplication and division.</t>
  </si>
  <si>
    <t>3.OA.A.1</t>
  </si>
  <si>
    <t>Interpret products of whole numbers, e.g., interpret 5 × 7 as the total number of objects in 5 groups of 7 objects each. For example, describe a context in which a total number of objects can be expressed as 5 × 7.</t>
  </si>
  <si>
    <t xml:space="preserve">R - Students will use this skill to build on in 4th grade and readiness for later 3rd grade content. </t>
  </si>
  <si>
    <t>3.OA.A.2</t>
  </si>
  <si>
    <t>Interpret whole-number quotients of whole numbers, e.g., interpret 56 ÷ 8 as the number of objects in each share when 56 objects are partitioned equally into 8 shares, or as a number of shares when 56 objects are partitioned into equal shares of 8 objects each. For example, describe a context in which a number of shares or a number of groups can be expressed as 56 ÷ 8.</t>
  </si>
  <si>
    <t>R-They will need to know how to read word problems
and know how what they are dividing ( 4OA.A.2)
E-This is used through out the year.A-They see this
on the ACT Aspire test.</t>
  </si>
  <si>
    <t>3.OA.A.3</t>
  </si>
  <si>
    <t>Use multiplication and division within 100 to solve word problems in situations involving equal groups, arrays, and measurement quantities, e.g., by using drawings and equations with a symbol for the unknown number to represent the problem.</t>
  </si>
  <si>
    <t>R-They will build in fractions with these operations. E-multiple problem situations through the year. A- it is assessed in multiple ways L- used in science too</t>
  </si>
  <si>
    <t>3.OA.A.4</t>
  </si>
  <si>
    <t>Determine the unknown whole number in a multiplication or division equation relating three whole numbers. For example, determine the unknown number that makes the equation true in each of the equations 8 × ? = 48, 5 = _ ÷ 3, 6 × 6 = ?</t>
  </si>
  <si>
    <t xml:space="preserve">R- Students will use this to build on multiplicative comparisons in 4th grade. E - This stragegy is throughout the year to solve mathematical equations. A - Assessed multiple ways. </t>
  </si>
  <si>
    <t>Understand properties of multiplication and the relationship between multiplication and division.</t>
  </si>
  <si>
    <t>3.OA.B.5</t>
  </si>
  <si>
    <t>Apply properties of operations as strategies to multiply and divide. Examples: If 6 × 4 = 24 is known, then 4 × 6 = 24 is also known. (Commutative property of multiplication.) 3 × 5 × 2 can be found by 3 × 5 = 15, then 15 × 2 = 30, or by 5 × 2 = 10, then 3 × 10 = 30. (Associative property of multiplication.) Knowing that 8 × 5 = 40 and 8 × 2 = 16, one can find 8 × 7 as 8 × (5 + 2) = (8 × 5) + (8 × 2) = 40 + 16 = 56. (Distributive property.)</t>
  </si>
  <si>
    <t>R- continue to build these strategies in upper grades to flexibly solve problems A- their use of properties is tested</t>
  </si>
  <si>
    <t>3.OA.B.6</t>
  </si>
  <si>
    <t>Understand division as an unknownfactor problem. For example, find 32 ÷ 8 by finding the number that makes 32 when multiplied by 8.</t>
  </si>
  <si>
    <t xml:space="preserve">R- Continue to use this strategy to solve harder problems in upper grades. E- This relationship is used throughout the year when solving multiplication and division cards. </t>
  </si>
  <si>
    <t>Multiply and divide within 100.</t>
  </si>
  <si>
    <t>3.OA.C.7</t>
  </si>
  <si>
    <t>Fluently multiply and divide within 100, using strategies such as the relationship between multiplication and division (e.g., knowing that 8 × 5 = 40, one knows 40 ÷ 5 = 8) or properties of operations. By the end of Grade 3, know from memory all products of two one-digit numbers.</t>
  </si>
  <si>
    <t xml:space="preserve">R- They must understand this in order to solve this in word problems. E- used across the year, not just tested A- it is tested L- Kids count multiple groups and divide items in real ilfe. </t>
  </si>
  <si>
    <t>Solve problems involving the four operations, and identify and explain patterns in arithmetic.</t>
  </si>
  <si>
    <t>3.OA.D.8</t>
  </si>
  <si>
    <t xml:space="preserve">R - students need this foundation for 4th grade work in multi-step word problems. E - Students solve multi step problems throughout the year. A - Assessed multiple times. L - </t>
  </si>
  <si>
    <t>3.OA.D.9</t>
  </si>
  <si>
    <t>Identify arithmetic patterns (including patterns in the addition table or multiplication table), and explain them using properties of operations. For example, observe that 4 times a number is always even, and explain why 4 times a number can be decomposed into two equal addends</t>
  </si>
  <si>
    <t xml:space="preserve">R- 4.OA.C.5 (4th standard in which they have to create a pattern) 
 A-tested on ACT </t>
  </si>
  <si>
    <t>3.G.A.1</t>
  </si>
  <si>
    <t>Understand that shapes in different categories (e.g., rhombuses, rectangles, and others) may share attributes (e.g., having four sides), and that the shared attributes can define a larger category (e.g., quadrilaterals). Recognize rhombuses, rectangles, and squares as examples of quadrilaterals, and draw examples of quadrilaterals that do not belong to any of these subcategories.</t>
  </si>
  <si>
    <t>R-being able to understand what attributes the
shapes share and doesn't share will carry over to 
4th,(4.GA.2) E- geometry is built on in each grade level A-Will see this on the ACTAspire.</t>
  </si>
  <si>
    <t>3.G.A.2</t>
  </si>
  <si>
    <t>Partition shapes into parts with equal areas. Express the area of each part as a unit fraction of the whole. For example, partition a shape into 4 parts with equal area, and describe the area of each part as 1/4 of the area of the shape.</t>
  </si>
  <si>
    <t>R-Helps build base knowledge for fraction concepts for upper grades.A- ACT Aspire, MAP, E- fractional understanding, L- science extension</t>
  </si>
  <si>
    <t>Solve problems involving measurement and estimation.</t>
  </si>
  <si>
    <t>3.MD.A.1</t>
  </si>
  <si>
    <t>Tell and write time to the nearest minute and measure time intervals in minutes. Solve word problems involving addition and subtraction of time intervals in minutes, e.g., by representing the problem on a number line diagram.</t>
  </si>
  <si>
    <t xml:space="preserve">E - Time is used in every day life. A- Time is tested. </t>
  </si>
  <si>
    <t>3.MD.A.2</t>
  </si>
  <si>
    <t>Measure and estimate liquid volumes and masses of objects using standard units of grams (g), kilograms (kg), and liters (l). Add, subtract, multiply, or divide to solve one-step word problems involving masses or volumes that are given in the same units, e.g., by using drawings (such as a beaker with a measurement scale) to represent the problem</t>
  </si>
  <si>
    <r>
      <rPr>
        <sz val="10"/>
        <rFont val="arial,sans,sans-serif"/>
      </rPr>
      <t xml:space="preserve">L- using units of measurement in science 
L- students will need to be able to apply these units of measurement to one step problems and then multiple step in 4th grade.  </t>
    </r>
    <r>
      <rPr>
        <u/>
        <sz val="10"/>
        <color rgb="FF1155CC"/>
        <rFont val="arial,sans,sans-serif"/>
      </rPr>
      <t>4.MD</t>
    </r>
    <r>
      <rPr>
        <sz val="10"/>
        <rFont val="arial,sans,sans-serif"/>
      </rPr>
      <t xml:space="preserve">.A.1 and </t>
    </r>
    <r>
      <rPr>
        <u/>
        <sz val="10"/>
        <color rgb="FF1155CC"/>
        <rFont val="arial,sans,sans-serif"/>
      </rPr>
      <t>4.MD</t>
    </r>
    <r>
      <rPr>
        <sz val="10"/>
        <rFont val="arial,sans,sans-serif"/>
      </rPr>
      <t>.A.2
E- using measurement units will be taught and assessed beyong 3rd grade.</t>
    </r>
  </si>
  <si>
    <t>3.MD.B.3</t>
  </si>
  <si>
    <t>Draw a scaled picture graph and a scaled bar graph to represent a data set with several categories. Solve oneand two-step “how many more” and “how many less” problems using information presented in scaled bar graphs. For example, draw a bar graph in which each square in the bar graph might represent 5 pets.</t>
  </si>
  <si>
    <t>E-Is taught. They have to know how to make and 
read a Picture and bar graph. A-They have to graph
information on the Test. L-they have to read graphs
in Science.</t>
  </si>
  <si>
    <t>3.MD.B.4</t>
  </si>
  <si>
    <t>Generate measurement data by measuring lengths using rulers marked with halves and fourths of an inch. Show the data by making a line plot, where the horizontal scale is marked off in appropriate units— whole numbers, halves, or quarters.</t>
  </si>
  <si>
    <t>R- 4.MD.B.4: Make a line plot to display a data set of measurements in fractions of a unit (1/2, 1/4, 1/8). L- used in science</t>
  </si>
  <si>
    <t>Geometric measurement: understand concepts of area and relate area to multiplication and to addition.</t>
  </si>
  <si>
    <t>3.MD.C.5</t>
  </si>
  <si>
    <t>Recognize area as an attribute of plane figures and understand concepts of area measurement.</t>
  </si>
  <si>
    <t xml:space="preserve">R- This is a foundational skill for area in 3rd and extension skills in upper grades. </t>
  </si>
  <si>
    <t>3.MD.C.5a</t>
  </si>
  <si>
    <t>A square with side length 1 unit, called “a unit square,” is said to have “one square unit” of area, and can be used to measure area.</t>
  </si>
  <si>
    <t>R- conceptually supports our area standard and those in 4th</t>
  </si>
  <si>
    <t>3.MD.C.5b</t>
  </si>
  <si>
    <t>A plane figure which can be covered without gaps or overlaps by n unit squares is said to have an area of n square units.</t>
  </si>
  <si>
    <t>R- conceptual support for area standards in 3rd and up</t>
  </si>
  <si>
    <t>3.MD.C.6</t>
  </si>
  <si>
    <t>Measure areas by counting unit squares (square cm, square m, square in, square ft, and improvised units).</t>
  </si>
  <si>
    <t>R-readiness for later 3rd grade content as well as 
algorithm understanding in 4th grade</t>
  </si>
  <si>
    <t>3.MD.C.7</t>
  </si>
  <si>
    <t>Relate area to the operations of multiplication and addition.</t>
  </si>
  <si>
    <r>
      <rPr>
        <sz val="10"/>
        <rFont val="arial,sans,sans-serif"/>
      </rPr>
      <t xml:space="preserve">R-understanding area helps them understand angle measurements and </t>
    </r>
    <r>
      <rPr>
        <u/>
        <sz val="10"/>
        <color rgb="FF1155CC"/>
        <rFont val="arial,sans,sans-serif"/>
      </rPr>
      <t>4.MD</t>
    </r>
    <r>
      <rPr>
        <sz val="10"/>
        <rFont val="arial,sans,sans-serif"/>
      </rPr>
      <t>.A.3 E-used to solve multiple problems using geometry A-assessed formulaicly on ACT L- Can be used to solve multiplication problems using an array/area model</t>
    </r>
  </si>
  <si>
    <t>3.MD.C.7a</t>
  </si>
  <si>
    <t>Find the area of a rectangle with whole-number side lengths by tiling it, and show that the area is the same as would be found by multiplying the side lengths.</t>
  </si>
  <si>
    <t xml:space="preserve">R 4.MD.A.3 apply area formulas, this standard is the conceptual base for that. 
A- MAP, ACT Aspire
</t>
  </si>
  <si>
    <t>3.MD.C.7b</t>
  </si>
  <si>
    <t>Multiply side lengths to find areas of rectangles with whole-number side lengths in the context of solving real world and mathematical problems, and represent whole-number products as rectangular areas in mathematical reasoning.</t>
  </si>
  <si>
    <t>R  4.MD.A.3  E Students will find area beyond a test date. A-MAP, ACT</t>
  </si>
  <si>
    <t>3.MD.C.7c</t>
  </si>
  <si>
    <t>Use tiling to show in a concrete case that the area of a rectangle with whole-number side lengths a and b + c is the sum of a × b and a × c. Use area models to represent the distributive property in mathematical reasoning.</t>
  </si>
  <si>
    <t>R- conceptual support for area and properties of operations 
A- ACT and MAP
L-flexbility with operations will carry through all upper mathematics</t>
  </si>
  <si>
    <t>3.MD.C.7d</t>
  </si>
  <si>
    <t>Recognize area as additive. Find areas of rectilinear figures by decomposing them into nonoverlapping rectangles and adding the areas of the non-overlapping parts, applying this technique to solve real world problems.</t>
  </si>
  <si>
    <t>Geometric measurement: recognize perimeter.</t>
  </si>
  <si>
    <t>3.MD.D.8</t>
  </si>
  <si>
    <t>Solve real world and mathematical problems involving perimeters of polygons, including finding the perimeter given the side lengths, finding an unknown side length, and exhibiting rectangles with the same perimeter and different areas or with the same area and different perimeters.</t>
  </si>
  <si>
    <t>R- 4.MD.A.3 E- This foundational skill will be built upon in 4th and up.</t>
  </si>
  <si>
    <t>Number Sense and Fractions</t>
  </si>
  <si>
    <t>Develop understanding of fractions as numbers.</t>
  </si>
  <si>
    <t>3.NF.A.1</t>
  </si>
  <si>
    <t>Understand a fraction 1/b as the quantity formed by 1 part when a whole is partitioned into b equal parts; understand a fraction a/b as the quantity formed by a parts of size 1/b.</t>
  </si>
  <si>
    <t>R- 4th has an entire strand on fractions, L-Fractions are used throughout math and science as well as in real life</t>
  </si>
  <si>
    <t>3.NF.A.2</t>
  </si>
  <si>
    <t>Understand a fraction as a number on the number line; represent fractions on a number line diagram.</t>
  </si>
  <si>
    <t xml:space="preserve">R - Conceptul understanding for base work with fractions for work in 3rd and 4th grade. </t>
  </si>
  <si>
    <t>3.NF.A.2a</t>
  </si>
  <si>
    <t>Represent a fraction 1/b on a number line diagram by defining the interval from 0 to 1 as the whole and partitioning it into b equal parts. Recognize that each part has size 1/b and that the endpoint of the part based at 0 locates the number 1/b on the number line.</t>
  </si>
  <si>
    <t>R- Fractions is an entire strand in 4th grade and this concept will build on what they need to know to multiplly and add fractions. E- Students are going to need to know this in order to compare/order fraction sizes. A- Assessed in multiple areas.</t>
  </si>
  <si>
    <t>3.NF.A.2b</t>
  </si>
  <si>
    <t>Represent a fraction a/b on a number line diagram by marking off a lengths 1/b from 0. Recognize that the resulting interval has size a/b and that its endpoint locates the number a/b on the number line.</t>
  </si>
  <si>
    <t>R-Readiness cocept to recoginze how a fraction
works.E- this gives them a mental model
to be able to carry their work on. A-MAP/ACT</t>
  </si>
  <si>
    <t>3.NF.A.3</t>
  </si>
  <si>
    <t>Explain equivalence of fractions in special cases, and compare fractions by reasoning about their size.</t>
  </si>
  <si>
    <t xml:space="preserve">R- Fractions is an entire strand in 4th grade. E- This concept is built on throughout the entire year. A- Will be assessed multiple ways L- Students will use fractions in real life to cook, measure, estimate, etc. </t>
  </si>
  <si>
    <t>3.NF.A.3a</t>
  </si>
  <si>
    <t>Understand two fractions as equivalent (equal) if they are the same size, or the same point on a number line.</t>
  </si>
  <si>
    <t>R- helps students understand basic equivalence so they can understand equivalent fractionswith unlike denominators in later years
A-MAP, ACT</t>
  </si>
  <si>
    <t>3.NF.A.3b</t>
  </si>
  <si>
    <t>Recognize and generate simple equivalent fractions, e.g., 1/2 = 2/4, 4/6 = 2/3. Explain why the fractions are equivalent, e.g., by using a visual fraction model.</t>
  </si>
  <si>
    <t>R- simple equivalance will be built upon by more complex in higher grades,
E- revisited in multiple units of instruciton in 3rd grade
A- ACT Apsire and MAP
L- Used in science as well</t>
  </si>
  <si>
    <t>3.NF.A.3c</t>
  </si>
  <si>
    <t>Express whole numbers as fractions, and recognize fractions that are equivalent to whole numbers. Examples: Express 3 in the form 3 = 3/1; recognize that 6/1 = 6; locate 4/4 and 1 at the same point of a number line diagram</t>
  </si>
  <si>
    <t>R- builds a conceptual understanding of fractions
A-tested on ACT Aspire and MAP</t>
  </si>
  <si>
    <t>3.NF.A.3d</t>
  </si>
  <si>
    <t>Compare two fractions with the same numerator or the same denominator by reasoning about their size. Recognize that comparisons are valid only when the two fractions refer to the same whole. Record the results of comparisons with the symbols &gt;, =, or &lt;, and justify the conclusions, e.g., by using a visual fraction model.</t>
  </si>
  <si>
    <r>
      <rPr>
        <sz val="10"/>
        <rFont val="arial,sans,sans-serif"/>
      </rPr>
      <t xml:space="preserve">R- </t>
    </r>
    <r>
      <rPr>
        <u/>
        <sz val="10"/>
        <color rgb="FF1155CC"/>
        <rFont val="arial,sans,sans-serif"/>
      </rPr>
      <t>4.NF</t>
    </r>
    <r>
      <rPr>
        <sz val="10"/>
        <rFont val="arial,sans,sans-serif"/>
      </rPr>
      <t>.A.2
E-comparing fractions with different numerators and demoninators need this standard
A- ACT Aspire
L- Science/cooking, baking in real life</t>
    </r>
  </si>
  <si>
    <t>4th Grade Math Standards</t>
  </si>
  <si>
    <t>Generalize place value understanding for multi-digit whole numbers.</t>
  </si>
  <si>
    <t>4.NBT.A.1</t>
  </si>
  <si>
    <t>Recognize that in a multi-digit whole number, a digit in one place represents ten times what it represents in the place to its right. For example, recognize that 700 ÷ 70 = 10 by applying concepts of place value and division.</t>
  </si>
  <si>
    <t>R- in 5th grade it will connect to decimals 5.NBT.A.1
E- This will continue through the next several grade levels in math
A- ACT Aspire, MAP, Common assessment
L-connects to many parts of math (decimals, fractions, etc.)</t>
  </si>
  <si>
    <t>4.NBT.A.2
(Part One)</t>
  </si>
  <si>
    <t xml:space="preserve">Read and write multi-digit whole numbers using base-ten numerals, number names, and expanded form. </t>
  </si>
  <si>
    <t>R- in 5th grade it will connect to decimals 5.NBT.A.1
E- This will continue through the next several grade levels in math
A- ACT Aspire, MAP</t>
  </si>
  <si>
    <t>4.NBT.A.2
(Part Two)</t>
  </si>
  <si>
    <t>Compare two multi-digit numbers based on meanings of the digits in each place, using &gt;, =, and &lt; symbols to record the results of comparisons.</t>
  </si>
  <si>
    <t>4.NBT.A.3</t>
  </si>
  <si>
    <t>Use place value understanding to round multi-digit whole numbers to any place.</t>
  </si>
  <si>
    <t>R- in 5th grade it will connect to determining the reasonableness of an answer.
E- This will continue through the next several grade levels in math</t>
  </si>
  <si>
    <t>4.NBT.B.4</t>
  </si>
  <si>
    <t>Fluently add and subtract multi-digit whole numbers using the standard algorithm.</t>
  </si>
  <si>
    <t>R-In 5th grade they will use their knowledge of the standard algorithm to solve problems with multiple operations. 5.OA.A.2
E-This will continue through the next several grade levels in math. 
A-ACT Aspire, MAP, Common assessment
L-connects to many parts of math (fractions, decimals, algebra, etc.)</t>
  </si>
  <si>
    <t>4.NBT.B.5</t>
  </si>
  <si>
    <t>Multiply a whole number of up to four digits by a one-digit whole number, and multiply two two-digit numbers, using strategies based on place value and the properties of operations. Illustrate and explain the calculation by using equations, rectangular arrays, and/or area models.</t>
  </si>
  <si>
    <t>R- In 5th grade they will use the standard algorithm of multiplication to solve problems. 5.NBT.B.5
E-This will continue through the next several grade levels in math. 
A-ACT Aspire, MAP, Common assessment
L- connects to many parts of math (fractions, decimals, etc.)</t>
  </si>
  <si>
    <t>4.NBT.B.6</t>
  </si>
  <si>
    <t>Find whole-number quotients and remainders with up to four-digit dividends and one-digit divisors, using strategies based on place value, the properties of operations, and/or the relationship between multiplication and division. Illustrate and explain the calculation by using equations, rectangular arrays, and/or area models</t>
  </si>
  <si>
    <t>R-In 5th grade they will use the standard algorithm in division, as well as with decimals. 5.NBT.B.6
E-This will continue through the next several grade levels in math. 
A-ACT Aspire, MAP, Common assessment
L- connects to many parts of math (fractions, decimals, etc.)</t>
  </si>
  <si>
    <t xml:space="preserve"> </t>
  </si>
  <si>
    <t>Use the four operations with whole numbers to solve problems.</t>
  </si>
  <si>
    <t>4.OA.A.1</t>
  </si>
  <si>
    <t>Interpret a multiplication equation as a comparison, e.g., interpret 35 = 5 × 7 as a statement that 35 is 5 times as many as 7 and 7 times as many as 5. Represent verbal statements of multiplicative comparisons as multiplication equations.</t>
  </si>
  <si>
    <t>R- This standard connects to multiplication from 3rd grade on
E- This will continue through the next several grade levels in math</t>
  </si>
  <si>
    <t>4.OA.A.2</t>
  </si>
  <si>
    <t>Multiply or divide to solve word problems involving multiplicative comparison, e.g., by using drawings and equations with a symbol for the unknown number to represent the problem, distinguishing multiplicative comparison from additive comparison.</t>
  </si>
  <si>
    <t>R- This standard connects to multiplication and division from 3rd grade on
E- This will continue through the next several grade levels in math
A- ACT Aspire, MAP</t>
  </si>
  <si>
    <t>4.OA.A.3</t>
  </si>
  <si>
    <t>Solve multistep word problems posed with whole numbers and having whole-number answers using the four operations, including problems in which remainders must be interpreted. Represent these problems using equations with a letter standing for the unknown quantity. Assess the reasonableness of answers using mental computation and estimation strategies including rounding.</t>
  </si>
  <si>
    <t>R- This standard connects to all four operations in many levels of math
E- This will continue through the next several grade levels in math
A- ACT Aspire, MAP</t>
  </si>
  <si>
    <t>Gain familiarity with factors and multiples.</t>
  </si>
  <si>
    <t>4.OA.B.4</t>
  </si>
  <si>
    <t>Find all factor pairs for a whole number in the range 1–100. Recognize that a whole number is a multiple of each of its factors. Determine whether a given whole number in the range 1–100 is a multiple of a given one-digit number. Determine whether a given whole number in the range 1–100 is prime or composite.</t>
  </si>
  <si>
    <t>R-In 5th grade they will need to apply this knowledge to the understanding of finding like denominators, standard algorithm, etc. 
E-This will continue through the next several grade levels in math. 
A-ACT Aspire, MAP, Common assessment
L- Connects to many parts of math (division, multiplication, fractions, decimals, etc.)</t>
  </si>
  <si>
    <t>Generate and analyze patterns.</t>
  </si>
  <si>
    <t>4.OA.C.5</t>
  </si>
  <si>
    <t>Generate a number or shape pattern that follows a given rule. Identify apparent features of the pattern that were not explicit in the rule itself. For example, given the rule “Add 3” and the starting number 1, generate terms in the resulting sequence and observe that the terms appear to alternate between odd and even numbers. Explain informally why the numbers will continue to alternate in this way.</t>
  </si>
  <si>
    <t>R-This begins in 3rd grade and continues through several grade levels
E- This will continue through the next several grade levels in math</t>
  </si>
  <si>
    <t>4.G.A.1</t>
  </si>
  <si>
    <t>Draw points, lines, line segments, rays, angles (right, acute, obtuse), and perpendicular and parallel lines. Identify these in two-dimensional figures.</t>
  </si>
  <si>
    <t xml:space="preserve">R- begins in third grade and should have a good grasp by the end of 4th
E- This will continue through the next several grade levels in math
</t>
  </si>
  <si>
    <t>4.G.A.2</t>
  </si>
  <si>
    <t>Classify two-dimensional figures based on the presence or absence of parallel or perpendicular lines, or the presence or absence of angles of a specified size. Recognize right triangles as a category, and identify right triangles.</t>
  </si>
  <si>
    <t>R-Connects to many prior geometry standards, as well as several upcoming in 5th.
E- This will continue through the next several grade levels in math
A- ACT Aspire, MAP</t>
  </si>
  <si>
    <t>4.G.A.3</t>
  </si>
  <si>
    <t>Recognize a line of symmetry for a two-dimensional figure as a line across the figure such that the figure can be folded along the line into matching parts. Identify linesymmetric figures and draw lines of symmetry.</t>
  </si>
  <si>
    <t>Solve problems involving measurement and conversion of measurements.</t>
  </si>
  <si>
    <t>4.MD.A.1</t>
  </si>
  <si>
    <t>Know relative sizes of measurement units within one system of units including km, m, cm; kg, g; lb, oz.; l, ml; hr, min, sec. Within a single system of measurement, express measurements in a larger unit in terms of a smaller unit. Record measurement equivalents in a twocolumn table. For example, know that 1 ft is 12 times as long as 1 in. Express the length of a 4 ft snake as 48 in. Generate a conversion table for feet and inches listing the number pairs (1, 12), (2, 24), (3, 36), ...</t>
  </si>
  <si>
    <t xml:space="preserve">R- In 5th grade they will need to convert measurements within given units 5.MD.A.1 
E-This will continue through the next several grade levels in math, as well as in life. 
A-ACT Aspire, MAP, Common assessment
L- Connects to many parts of math </t>
  </si>
  <si>
    <t>4.MD.A.2</t>
  </si>
  <si>
    <t>Use the four operations to solve word problems involving distances, intervals of time, liquid volumes, masses of objects, and money, including problems involving simple fractions or decimals, and problems that require expressing measurements given in a larger unit in terms of a smaller unit. Represent measurement quantities using diagrams such as number line diagrams that feature a measurement scale.</t>
  </si>
  <si>
    <t>R-Connects to operations of multiplication and division to convert measurements
E- This will continue through the next several grade levels in math
A- ACT Aspire, MAP</t>
  </si>
  <si>
    <t>4.MD.A.3</t>
  </si>
  <si>
    <t>Apply the area and perimeter formulas for rectangles in real world and mathematical problems. For example, find the width of a rectangular room given the area of the flooring and the length, by viewing the area formula as a multiplication equation with an unknown factor.</t>
  </si>
  <si>
    <t>R-In 5th grade, students will need to apply their understanding of perimeter and area in relation to one another and how to solve real world problems, as well as finding volume. 5.MD.C.3
E-This will continue through the next several grade levels in math, as well as in life. 
A-ACT Aspire, MAP, Common assessment
L-connects to many parts of math (volume, area and perimeter of irregular shapes, etc. )</t>
  </si>
  <si>
    <t>4.MD.B.4</t>
  </si>
  <si>
    <t>Make a line plot to display a data set of measurements in fractions of a unit (1/2, 1/4, 1/8). Solve problems involving addition and subtraction of fractions by using information presented in line plots. For example, from a line plot find and interpret the difference in length between the longest and shortest specimens in an insect collection.</t>
  </si>
  <si>
    <t xml:space="preserve">R-Creating a line plot using fractions connects to fractions and measurement and data standards
</t>
  </si>
  <si>
    <t>Geometric measurement: understand concepts of angle and measure angles.</t>
  </si>
  <si>
    <t>4.MD.C.5</t>
  </si>
  <si>
    <t>Recognize angles as geometric shapes that are formed wherever two rays share a common endpoint, and understand concepts of angle measurement:</t>
  </si>
  <si>
    <t xml:space="preserve">R-Connects to many prior geometry standards, as well as several upcoming in 5th.
</t>
  </si>
  <si>
    <t>4.MD.C.5a</t>
  </si>
  <si>
    <t>An angle is measured with reference to a circle with its center at the common endpoint of the rays, by considering the fraction of the circular arc between the points where the two rays intersect the circle. An angle that turns through 1/360 of a circle is called a “one-degree angle,” and can be used to measure angles.</t>
  </si>
  <si>
    <t>R-Connects to many prior geometry standards, as well as several upcoming in 5th.</t>
  </si>
  <si>
    <t>4.MD.C.5b</t>
  </si>
  <si>
    <t>An angle that turns through n onedegree angles is said to have an angle measure of n degrees</t>
  </si>
  <si>
    <t>4.MD.C.6</t>
  </si>
  <si>
    <t>Measure angles in whole-number degrees using a protractor. Sketch angles of specified measure.</t>
  </si>
  <si>
    <t>4.MD.C.7</t>
  </si>
  <si>
    <t>Recognize angle measure as additive. When an angle is decomposed into non-overlapping parts, the angle measure of the whole is the sum of the angle measures of the parts. Solve addition and subtraction problems to find unknown angles on a diagram in real world and mathematical problems, e.g., by using an equation with a symbol for the unknown angle measure.</t>
  </si>
  <si>
    <t>R- In 5th grade, 
E-This will continue through the next several grade levels in math, as well as in life. 
A-ACT Aspire, MAP, Common assessment
L- Connects to many areas of math (geometry, shapes, circles, etc.)</t>
  </si>
  <si>
    <t>Extend understanding of fraction equivalence and ordering.</t>
  </si>
  <si>
    <t>4.NF.A.1</t>
  </si>
  <si>
    <t>Explain why a fraction a/b is equivalent to a fraction (n × a)/(n × b) by using visual fraction models, with attention to how the number and size of the parts differ even though the two fractions themselves are the same size. Use this principle to recognize and generate equivalent fractions.</t>
  </si>
  <si>
    <t>R- In 5th grade, students will need to add and subtract fractions with unlike denominators.5.NF.A.1
E-This will continue through the next several grade levels in math, as well as in life. 
A-ACT Aspire, MAP, Common assessment
L- Connects to many areas of math (fractions, decimals, equivalence, etc.)</t>
  </si>
  <si>
    <t>4.NF.A.2</t>
  </si>
  <si>
    <t>Compare two fractions with different numerators and different denominators, e.g., by creating common denominators or numerators, or by comparing to a benchmark fraction such as 1/2. Recognize that comparisons are valid only when the two fractions refer to the same whole. Record the results of comparisons with symbols &gt;, =, or &lt;, and justify the conclusions, e.g., by using a visual fraction model.</t>
  </si>
  <si>
    <t>R-Connects to mulitplication and factors to determine common denominators in order to use operations of fractions in 5th grade.
E- This will continue through the next several grade levels in math
A- ACT Aspire, MAP</t>
  </si>
  <si>
    <t>Build fractions from unit fractions.</t>
  </si>
  <si>
    <t>4.NF.B.3</t>
  </si>
  <si>
    <t>Understand a fraction a/b with a &gt; 1 as a sum of fractions 1/b.</t>
  </si>
  <si>
    <t>R-Connects to many prior fraction standards, as well as several upcoming in 5th.</t>
  </si>
  <si>
    <t>4.NF.B.3a</t>
  </si>
  <si>
    <t>Understand addition and subtraction of fractions as joining and separating parts referring to the same whole.</t>
  </si>
  <si>
    <t>R-Connects to mulitplication and factors from 3rd grade and on.
E- This will continue through the next several grade levels in math
A- ACT Aspire, MAP</t>
  </si>
  <si>
    <t>4.NF.B.3b</t>
  </si>
  <si>
    <t>Decompose a fraction into a sum of fractions with the same denominator in more than one way, recording each decomposition by an equation. Justify decompositions, e.g., by using a visual fraction model. Examples: 3/8 = 1/8 + 1/8 + 1/8 ; 3/8 = 1/8 + 2/8 ; 2 1/8 = 1 + 1 + 1/8 = 8/8 + 8/8 + 1/8.</t>
  </si>
  <si>
    <t>4.NF.B.3c</t>
  </si>
  <si>
    <t>Add and subtract mixed numbers with like denominators, e.g., by replacing each mixed number with an equivalent fraction, and/or by using properties of operations and the relationship between addition and subtraction.</t>
  </si>
  <si>
    <t>4.NF.B.3d</t>
  </si>
  <si>
    <t>Solve word problems involving addition and subtraction of fractions referring to the same whole and having like denominators, e.g., by using visual fraction models and equations to represent the problem</t>
  </si>
  <si>
    <t>4.NF.B.4</t>
  </si>
  <si>
    <t>Apply and extend previous understandings of multiplication to multiply a fraction by a whole number.</t>
  </si>
  <si>
    <t>4.NF.B.4a</t>
  </si>
  <si>
    <t>Understand a fraction a/b as a multiple of 1/b. For example, use a visual fraction model to represent 5/4 as the product 5 × (1/4), recording the conclusion by the equation 5/4 = 5 × (1/4).</t>
  </si>
  <si>
    <t>4.NF.B.4b</t>
  </si>
  <si>
    <t>Understand a multiple of a/b as a multiple of 1/b, and use this understanding to multiply a fraction by a whole number. For example, use a visual fraction model to express 3 × (2/5) as 6 × (1/5), recognizing this product as 6/5. (In general, n × (a/b) = (n × a)/b.)</t>
  </si>
  <si>
    <t>4.NF.B.4c</t>
  </si>
  <si>
    <t>Solve word problems involving multiplication of a fraction by a whole number, e.g., by using visual fraction models and equations to represent the problem. For example, if each person at a party will eat 3/8 of a pound of roast beef, and there will be 5 people at the party, how many pounds of roast beef will be needed? Between what two whole numbers does your answer lie?</t>
  </si>
  <si>
    <t>Understand decimal notation for fractions, and compare decimal fractions.</t>
  </si>
  <si>
    <t>4.NF.C.5</t>
  </si>
  <si>
    <t>Express a fraction with denominator 10 as an equivalent fraction with denominator 100, and use this technique to add two fractions with respective denominators 10 and 100. For example, express 3/10 as 30/100, and add 3/10 + 4/100 = 34/100.</t>
  </si>
  <si>
    <t>R-Connects to mulitplication and factors to determine common denominators, as well as decimals, in order to use operations of fractions in 5th grade.
E- This will continue through the next several grade levels in math
A- ACT Aspire, MAP</t>
  </si>
  <si>
    <t>4.NF.C.6</t>
  </si>
  <si>
    <t>Use decimal notation for fractions with denominators 10 or 100. For example, rewrite 0.62 as 62/100; describe a length as 0.62 meters; locate 0.62 on a number line diagram</t>
  </si>
  <si>
    <t>R-Connects to decimals in 5th grade.
E- This will continue through the next several grade levels in math
A- ACT Aspire, MAP</t>
  </si>
  <si>
    <t>4.NF.C.7</t>
  </si>
  <si>
    <t>Compare two decimals to hundredths by reasoning about their size. Recognize that comparisons are valid only when the two decimals refer to the same whole. Record the results of comparisons with the symbols &gt;, =, or &lt;, and justify the conclusions, e.g., by using a visual model.</t>
  </si>
  <si>
    <t>5th Math Standards</t>
  </si>
  <si>
    <t>Understand the place value system</t>
  </si>
  <si>
    <t>5.NBT.A.1</t>
  </si>
  <si>
    <t>Recognize that in a multi-digit number, a digit in one place represents 10 times as much as it represents in the place to its right and 1/10 of what it represents in the place to its left.</t>
  </si>
  <si>
    <t xml:space="preserve">E-This standard is a concept and a skill that carries over from 4th to 5th grade.  </t>
  </si>
  <si>
    <t>5.NBT.A.2</t>
  </si>
  <si>
    <t>Explain patterns in the number of zeros of the product when multiplying a number by powers of 10, and explain patterns in the placement of the decimal point when a decimal is multiplied or divided by a power of 10. Use whole-number exponents to denote powers of 10.</t>
  </si>
  <si>
    <t>E-This standard is helpful as students start to multiply and divide bigger numbers, but it is not a skill that is necessary.
A- This skill is assessed on ACT Aspire and MAP test.</t>
  </si>
  <si>
    <t>5.NBT.A.3</t>
  </si>
  <si>
    <t>Read, write, and compare decimals to thousandths.</t>
  </si>
  <si>
    <t>A-ACT Aspire.</t>
  </si>
  <si>
    <t>5.NBT.A.3a</t>
  </si>
  <si>
    <t>Read and write decimals to thousandths using base-ten numerals, number names, and expanded form, e.g., 347.392 = 3 × 100 + 4 × 10 + 7 × 1 + 3 × (1/10) + 9 × (1/100) + 2 × (1/1000).</t>
  </si>
  <si>
    <t>A-MAP test.</t>
  </si>
  <si>
    <t>5.NBT.A.3b</t>
  </si>
  <si>
    <t>Compare two decimals to thousandths based on meanings of the digits in each place, using &gt;, =, and &lt; symbols to record the results of comparisons.</t>
  </si>
  <si>
    <t>E-This standard is a life skill that students will continue to use.</t>
  </si>
  <si>
    <t>5.NBT.A.4</t>
  </si>
  <si>
    <t>Use place value understanding to round decimals to any place.</t>
  </si>
  <si>
    <t xml:space="preserve">A-This standard is assessed on the MAP test. </t>
  </si>
  <si>
    <t>Perform operations with multi-digit whole numbers and with decimals to hundredths.</t>
  </si>
  <si>
    <t>5.NBT.B.5</t>
  </si>
  <si>
    <t>Fluently multiply multi-digit whole numbers using the standard algorithm</t>
  </si>
  <si>
    <t xml:space="preserve">R- Compute fluently with multidigit numbers and find common factors and multiples. (6.NS.B2-4) 
E- being able to compute fluently with multidigit numbers is a foundational skill. 
A- MAP and ACT Apire.
L- they will use this not only in their every day life, but they will also need it when computing data in science. </t>
  </si>
  <si>
    <t>5.NBT.B.6</t>
  </si>
  <si>
    <t>Find whole-number quotients of whole numbers with up to four-digit dividends and two-digit divisors, using strategies based on place value, the properties of operations, and/or the relationship between multiplication and division. Illustrate and explain the calculation by using equations, rectangular arrays, and/or area models.</t>
  </si>
  <si>
    <t>R- Compute fluently with multidigit numbers and find common factors and multiples. (6.NS.B2-4) 
E- being able to compute fluently with multidigit numbers is a foundational skill. 
A- MAP and ACT Apire. 
L- they will use this not only in their every day life, but they will also need it when computing data in science.</t>
  </si>
  <si>
    <t>5.NBT.B.7</t>
  </si>
  <si>
    <t>Add, subtract, multiply, and divide decimals to hundredths, using concrete models or drawings and strategies based on place value, properties of operations, and/or the relationship between addition and subtraction; relate the strategy to a written method and explain the reasoning used.</t>
  </si>
  <si>
    <t xml:space="preserve">A- MAP and ACT Aspire testing.  
L-This will have leverage when working on the science concepts. </t>
  </si>
  <si>
    <t>Write and interpret numerical expressions</t>
  </si>
  <si>
    <t>5.OA.A.1</t>
  </si>
  <si>
    <t>Use parentheses, brackets, or braces in numerical expressions, and evaluate expressions with these symbols.</t>
  </si>
  <si>
    <t>E-this standard will carry over into 6th grade. 
A- ACT Aspire and MAP</t>
  </si>
  <si>
    <t>5.OA.A.2</t>
  </si>
  <si>
    <t>Write simple expressions that record calculations with numbers, and interpret numerical expressions without evaluating them. For example, express the calculation “add 8 and 7, then multiply by 2” as 2 × (8 + 7). Recognize that 3 × (18932 + 921) is three times as large as 18932 + 921, without having to calculate the indicated sum or product.</t>
  </si>
  <si>
    <t>R- Apply the property of operations to generate equivalent expressions (6.EE.A.3) 
E- writing number sentences that represents their thinking is the first step in the justification process. 
A- ACT Aspire open response and multiple choice, MAP 
L- use in problem solving in other areas of math and science</t>
  </si>
  <si>
    <t>Analyze patterns and relationships</t>
  </si>
  <si>
    <t>5.OA.B.3</t>
  </si>
  <si>
    <t>Generate two numerical patterns using two given rules. Identify apparent relationships between corresponding terms. Form ordered pairs consisting of corresponding terms from the two patterns, and graph the ordered pairs on a coordinate plane. For example, given the rule “Add 3” and the starting number 0, and given the rule “Add 6” and the starting number 0, generate terms in the resulting sequences, and observe that the terms in one sequence are twice the corresponding terms in the other sequence. Explain informally why this is so.</t>
  </si>
  <si>
    <t xml:space="preserve">A- MAP and ACT Aspire testing.  
</t>
  </si>
  <si>
    <t>Graph points on the coordinate plane to solve real-world and mathematical problems.</t>
  </si>
  <si>
    <t>5.G.A.1</t>
  </si>
  <si>
    <t>Use a pair of perpendicular number lines, called axes, to define a coordinate system, with the intersection of the lines (the origin) arranged to coincide with the 0 on each line and a given point in the plane located by using an ordered pair of numbers, called its coordinates. Understand that the first number indicates how far to travel from the origin in the direction of one axis, and the second number indicates how far to travel in the direction of the second axis, with the convention that the names of the two axes and the coordinates correspond (e.g., x-axis and x-coordinate, y-axis and y-coordinate).</t>
  </si>
  <si>
    <t>R- This standard is the basics of graphing points on a graph.
E- It will prepare students for work they will do in higher grades for x-and y-axis and quadrant work. 
A-Act Aspire and MAP</t>
  </si>
  <si>
    <t>5.G.A.2</t>
  </si>
  <si>
    <t>Represent real world and mathematical problems by graphing points in the first quadrant of the coordinate plane, and interpret coordinate values of points in the context of the situation.</t>
  </si>
  <si>
    <t xml:space="preserve"> A-Act Aspire and MAP</t>
  </si>
  <si>
    <t>Classify two-dimensional figures into categories based on their properties.</t>
  </si>
  <si>
    <t>5.G.B.3</t>
  </si>
  <si>
    <t>Understand that attributes belonging to a category of two-dimensional figures also belong to all subcategories of that category. For example, all rectangles have four right angles and squares are rectangles, so all squares have four right angles.</t>
  </si>
  <si>
    <t>E-This standard prepares students for 7th grade geometry 7.G.A A-ACT Aspire &amp; MAP</t>
  </si>
  <si>
    <t>5.G.B.4</t>
  </si>
  <si>
    <t>Classify two-dimensional figures in a hierarchy based on properties.</t>
  </si>
  <si>
    <t>E- Will help students as they get into Geometry in higher grades. A-ACT Aspire &amp; MAP</t>
  </si>
  <si>
    <t>Convert like measurement units within a given measurement system.</t>
  </si>
  <si>
    <t>5.MD.A.1</t>
  </si>
  <si>
    <t>Convert among different-sized standard measurement units within a given measurement system (e.g., convert 5 cm to 0.05 m), and use these conversions in solving multistep, real world problems.</t>
  </si>
  <si>
    <t>E- This standard will continue to help students in real life situations such as cooking. 
A-ACT Aspire and MAP</t>
  </si>
  <si>
    <t>5.MD.B.2</t>
  </si>
  <si>
    <t>Make a line plot to display a data set of measurements in fractions of a unit (1/2, 1/4, 1/8). Use operations on fractions for this grade to solve problems involving information presented in line plots. For example, given different measurements of liquid in identical beakers, find the amount of liquid each beaker would contain if the total amount in all the beakers were redistributed equally.</t>
  </si>
  <si>
    <t>E Students need tis skill to prepare for ratios.
A-ACT Aspire and MAP</t>
  </si>
  <si>
    <t>Geometric measurement: understand concepts of volume.</t>
  </si>
  <si>
    <t>5.MD.C.3</t>
  </si>
  <si>
    <t>Recognize volume as an attribute of solid figures and understand concepts of volume measurement.</t>
  </si>
  <si>
    <t>R-Students need this to understand volume skills.
E-This standard carries over to the next standard.</t>
  </si>
  <si>
    <t>5.MD.C.3a</t>
  </si>
  <si>
    <t>A cube with side length 1 unit, called a “unit cube,” is said to have “one cubic unit” of volume, and can be used to measure volume.</t>
  </si>
  <si>
    <t>5.MD.C.3b</t>
  </si>
  <si>
    <t>A solid figure which can be packed without gaps or overlaps using n unit cubes is said to have a volume of n cubic units.</t>
  </si>
  <si>
    <t>A- ACT Aspire, MAP</t>
  </si>
  <si>
    <t>5.MD.C.4</t>
  </si>
  <si>
    <t>Measure volumes by counting unit cubes, using cubic cm, cubic in, cubic ft, and improvised units.</t>
  </si>
  <si>
    <t>A-ACT Aspire</t>
  </si>
  <si>
    <t>5.MD.C.5</t>
  </si>
  <si>
    <t>Relate volume to the operations of multiplication and addition and solve real world and mathematical problems involving volume. (See 5.a &amp;5.b)</t>
  </si>
  <si>
    <t>E- This standard will be used in higher grade levels
A-Act Aspire &amp; MAP</t>
  </si>
  <si>
    <t>5.MD.C.5a</t>
  </si>
  <si>
    <t>Find the volume of a right rectangular prism with whole-number side lengths by packing it with unit cubes, and show that the volume is the same as would be found by multiplying the edge lengths, equivalently by multiplying the height by the area of the base. Represent threefold whole-number products as volumes, e.g., to represent the associative property of multiplication.</t>
  </si>
  <si>
    <t>E- This standard will be used in higher grade levels
A-Act Aspire &amp; MAP</t>
  </si>
  <si>
    <t>5.MD.C.5b</t>
  </si>
  <si>
    <t>Apply the formulas V = l × w × h and V = b × h for rectangular prisms to find volumes of right rectangular prisms with whole-number edge lengths in the context of solving real world and mathematical problems.</t>
  </si>
  <si>
    <t>R-This standard is important to move through the next standards.
E- This standard will be used in higher grade levels
A-Act Aspire &amp; MAP</t>
  </si>
  <si>
    <t>5.MD.C.5c</t>
  </si>
  <si>
    <t>Recognize volume as additive. Find volumes of solid figures composed of two non-overlapping right rectangular prisms by adding the volumes of the non-overlapping parts, applying this technique to solve real world problems.</t>
  </si>
  <si>
    <t>E- This standard will be used in higher grade levels</t>
  </si>
  <si>
    <t>Use equivalent fractions as a strategy to add and subtract fractions.</t>
  </si>
  <si>
    <t>5.NF.A.1</t>
  </si>
  <si>
    <t>Add and subtract fractions with unlike denominators (including mixed numbers) by replacing given fractions with equivalent fractions in such a way as to produce an equivalent sum or difference of fractions with like denominators. For example, 2/3 + 5/4 = 8/12 + 15/12 = 23/12. (In general, a/b + c/d = (ad + bc)/bd.)</t>
  </si>
  <si>
    <t xml:space="preserve">R-Prepares students for the next level of learning in fraction work.
E-This standard will be used as a skill as students do more fraction work over time. </t>
  </si>
  <si>
    <t>5.NF.A.2</t>
  </si>
  <si>
    <t>Solve word problems involving addition and subtraction of fractions referring to the same whole, including cases of unlike denominators, e.g., by using visual fraction models or equations to represent the problem. Use benchmark fractions and number sense of fractions to estimate mentally and assess the reasonableness of answers. For example, recognize an incorrect result 2/5 + 1/2 = 3/7, by observing that 3/7 &lt; 1/2.</t>
  </si>
  <si>
    <t>foundation for other math operations and is a real world skill (cooking)</t>
  </si>
  <si>
    <t>Apply and extend previous understandings of multiplication and division.</t>
  </si>
  <si>
    <t>5.NF.B.3</t>
  </si>
  <si>
    <t>Interpret a fraction as division of the numerator by the denominator (a/b = a ÷ b). Solve word problems involving division of whole numbers leading to answers in the form of fractions or mixed numbers, e.g., by using visual fraction models or equations to represent the problem. For example, interpret 3/4 as the result of dividing 3 by 4, noting that 3/4 multiplied by 4 equals 3, and that when 3 wholes are shared equally among 4 people each person has a share of size 3/4. If 9 people want to share a 50-pound sack of rice equally by weight, how many pounds of rice should each person get? Between what two whole numbers does your answer lie?</t>
  </si>
  <si>
    <t>R- standard is needed as a foundation for future fraction work, however students should come with an understanding of this standard.</t>
  </si>
  <si>
    <t>5.NF.B.4</t>
  </si>
  <si>
    <t>Apply and extend previous understandings of multiplication to multiply a fraction or whole number by a fraction.</t>
  </si>
  <si>
    <t>5.NF.B.4a</t>
  </si>
  <si>
    <t>Interpret the product (a/b) × q as a parts of a partition of q into b equal parts; equivalently, as the result of a sequence of operations a × q ÷ b. For example, use a visual fraction model to show (2/3) × 4 = 8/3, and create a story context for this equation. Do the same with (2/3) × (4/5) = 8/15. (In general, (a/b) × (c/d) = ac/bd.)</t>
  </si>
  <si>
    <t xml:space="preserve">E-This standard will be addressed in later grades. </t>
  </si>
  <si>
    <t>5.NF.B.4b</t>
  </si>
  <si>
    <t>Find the area of a rectangle with fractional side lengths by tiling it with unit squares of the appropriate unit fraction side lengths, and show that the area is the same as would be found by multiplying the side lengths. Multiply fractional side lengths to find areas of rectangles, and represent fraction products as rectangular areas.</t>
  </si>
  <si>
    <t>E- this standard is a life skill standard.
A- MAP and ACT Aspire</t>
  </si>
  <si>
    <t>5.NF.B.5a</t>
  </si>
  <si>
    <t>Comparing the size of a product to the size of one factor on the basis of the size of the other factor, without performing the indicated multiplication.</t>
  </si>
  <si>
    <t>5.NF.B.5b</t>
  </si>
  <si>
    <t>Explaining why multiplying a given number by a fraction greater than 1 results in a product greater than the given number (recognizing multiplication by whole numbers greater than 1 as a familiar case); explaining why multiplying a given number by a fraction less than 1 results in a product smaller than the given number; and relating the principle of fraction equivalence a/b = (n × a)/(n × b) to the effect of multiplying a/b by 1.</t>
  </si>
  <si>
    <t>5.NF.B.6</t>
  </si>
  <si>
    <t>Solve real world problems involving multiplication of fractions and mixed numbers, e.g., by using visual fraction models or equations to represent the problem.</t>
  </si>
  <si>
    <t>R- building block for future ratio and eqution work, E- this standard will continue to be addressed in future grades,  A- MAP, ACT Aspire, L- carries over to science</t>
  </si>
  <si>
    <t>5.NF.B.7</t>
  </si>
  <si>
    <t>Apply and extend previous understandings of division to divide unit fractions by whole numbers and whole numbers by unit fractions.</t>
  </si>
  <si>
    <t>R- building block for future ratio and eqution work, E- this standard will continue to be addressed in future grades, A- MAP, ACT Aspire, L- carries over to science</t>
  </si>
  <si>
    <t>5.NF.B.7a</t>
  </si>
  <si>
    <t>Interpret division of a unit fraction by a non-zero whole number, and compute such quotients. For example, create a story context for (1/3) ÷ 4, and use a visual fraction model to show the quotient. Use the relationship between multiplication and division to explain that (1/3) ÷ 4 = 1/12 because (1/12) × 4 = 1/3.</t>
  </si>
  <si>
    <t>E- This standard is a foundational skill of division.</t>
  </si>
  <si>
    <t>5.NF.B.7b</t>
  </si>
  <si>
    <t>Interpret division of a whole number by a unit fraction, and compute such quotients. For example, create a story context for 4 ÷ (1/5), and use a visual fraction model to show the quotient. Use the relationship between multiplication and division to explain that 4 ÷ (1/5) = 20 because 20 × (1/5) = 4.</t>
  </si>
  <si>
    <t xml:space="preserve">R-This standard needs to be understood in order to move on to other 5th grade division skills. </t>
  </si>
  <si>
    <t>5.NF.B.7c</t>
  </si>
  <si>
    <t>Solve real world problems involving division of unit fractions by non-zero whole numbers and division of whole numbers by unit fractions, e.g., by using visual fraction models and equations to represent the problem. For example, how much chocolate will each person get if 3 people share 1/2 lb of chocolate equally? How many 1/3-cup servings are in 2 cups of raisins?</t>
  </si>
  <si>
    <t xml:space="preserve">E-This standard is a life skill.
A-This standard is assessed on the ACT Aspire and MAP </t>
  </si>
  <si>
    <t>Write and interpret numerical expression</t>
  </si>
  <si>
    <t>Use the +/- buttons above to control which ranges are visible.  The first button for a grade shows more about the standards.  The second button shows more about justifications.</t>
  </si>
  <si>
    <t>Kindergarten Essential Standards</t>
  </si>
  <si>
    <t>1st Grade Essential Standards</t>
  </si>
  <si>
    <t>2nd Grade Essential Standards</t>
  </si>
  <si>
    <t>3rd Grade Essential Standards</t>
  </si>
  <si>
    <t>4th Grade Essential Standards</t>
  </si>
  <si>
    <t>5th Grade Essential Standards</t>
  </si>
  <si>
    <t>Domain</t>
  </si>
  <si>
    <t>ESS.</t>
  </si>
  <si>
    <t>Standard Name</t>
  </si>
  <si>
    <t>Ratios and Proportions</t>
  </si>
  <si>
    <t>Counting and Cardinality</t>
  </si>
  <si>
    <t>m</t>
  </si>
  <si>
    <t>is a major cluster</t>
  </si>
  <si>
    <t>is a supporting cluster</t>
  </si>
  <si>
    <t>is an additional cluster</t>
  </si>
  <si>
    <t>K.CC.A</t>
  </si>
  <si>
    <t>K.CC.B</t>
  </si>
  <si>
    <t>K.CC.C</t>
  </si>
  <si>
    <t>K.NBT.A</t>
  </si>
  <si>
    <t>1.NBT.A</t>
  </si>
  <si>
    <t>Extending the counting sequence.</t>
  </si>
  <si>
    <t>1.NBT.B</t>
  </si>
  <si>
    <t>2.NBT.A</t>
  </si>
  <si>
    <t>4.NBT.A</t>
  </si>
  <si>
    <t>5.NBT.A</t>
  </si>
  <si>
    <t>Understand the place value system.</t>
  </si>
  <si>
    <t>6.NS.C</t>
  </si>
  <si>
    <t>Apply and extend previous understandings of numbers to the system of rational numbers.</t>
  </si>
  <si>
    <t>1.NBT.C</t>
  </si>
  <si>
    <t>2.NBT.B</t>
  </si>
  <si>
    <t>a</t>
  </si>
  <si>
    <t>3.NBT.A</t>
  </si>
  <si>
    <t>4.NBT.B</t>
  </si>
  <si>
    <t>5.NBT.B</t>
  </si>
  <si>
    <t>6.NS.B</t>
  </si>
  <si>
    <t>Compute fluently with multi-digit numbers and find common factors and multiples.</t>
  </si>
  <si>
    <t>K.OA.A</t>
  </si>
  <si>
    <t>Understand addition as putting together and adding to, and understand subtraction as taking apart and taking from.</t>
  </si>
  <si>
    <t>1.OA.B</t>
  </si>
  <si>
    <t>3.OA.B</t>
  </si>
  <si>
    <t>1.OA.A</t>
  </si>
  <si>
    <t>2.OA.A</t>
  </si>
  <si>
    <t>3.OA.A</t>
  </si>
  <si>
    <t>1.OA.C</t>
  </si>
  <si>
    <t>2.OA.B</t>
  </si>
  <si>
    <t>3.OA.C</t>
  </si>
  <si>
    <t>1.OA.D</t>
  </si>
  <si>
    <t>s</t>
  </si>
  <si>
    <t>2.OA.C</t>
  </si>
  <si>
    <t>4.OA.B</t>
  </si>
  <si>
    <t>3.OA.D</t>
  </si>
  <si>
    <t>4.OA.A</t>
  </si>
  <si>
    <t>4.OA.C</t>
  </si>
  <si>
    <t>5.OA.B</t>
  </si>
  <si>
    <t>Analyze patterns and relationships.</t>
  </si>
  <si>
    <t>5.OA.A</t>
  </si>
  <si>
    <t>Write and interpret numerical expressions.</t>
  </si>
  <si>
    <t>6.EE.A</t>
  </si>
  <si>
    <t>Apply and extend previous understandings of arithmetic to algebraic expressions.</t>
  </si>
  <si>
    <t>7.EE.A</t>
  </si>
  <si>
    <t>Use properties of operations to generate equivalent expressions.</t>
  </si>
  <si>
    <t>6.EE.B</t>
  </si>
  <si>
    <t>Reason about and solve one-variable equations and inequalities.</t>
  </si>
  <si>
    <t>7.EE.B</t>
  </si>
  <si>
    <t>Solve real-life and mathematical problems using numerical and algebraic expressions
and equations.</t>
  </si>
  <si>
    <t>6.EE.C</t>
  </si>
  <si>
    <t>Represent and analyze quantitative relationships between dependent and independent variables.</t>
  </si>
  <si>
    <t>K.G.A</t>
  </si>
  <si>
    <t>K.G.B</t>
  </si>
  <si>
    <t>1.G.A</t>
  </si>
  <si>
    <t xml:space="preserve">2.G.A </t>
  </si>
  <si>
    <t>3.G.A</t>
  </si>
  <si>
    <t>4.G.A</t>
  </si>
  <si>
    <t>Draw and identify lines and angles, and classify shapes by properties of their lines and angles.</t>
  </si>
  <si>
    <t>5.G.B</t>
  </si>
  <si>
    <t>7.G.A</t>
  </si>
  <si>
    <t>Draw, construct and describe geometrical figures and describe the relationships between them.</t>
  </si>
  <si>
    <t>5.G.A</t>
  </si>
  <si>
    <t>6.G.A</t>
  </si>
  <si>
    <t>Solve real-world and mathematical problems involving area, surface area, and volume.</t>
  </si>
  <si>
    <t>7.G.B</t>
  </si>
  <si>
    <t>Solve real-life and mathematical problems involving angle measure, area, surface area,
and volume.</t>
  </si>
  <si>
    <t>K.MD.A</t>
  </si>
  <si>
    <t>Describe and compare measureable attributes.</t>
  </si>
  <si>
    <t>K.MD.B</t>
  </si>
  <si>
    <t>Classify objects and count the number of objects in categories.</t>
  </si>
  <si>
    <t>1.MD.A</t>
  </si>
  <si>
    <t>2.MD.A</t>
  </si>
  <si>
    <t>1.MD.B</t>
  </si>
  <si>
    <t>2.MD.C</t>
  </si>
  <si>
    <t>1.MD.C</t>
  </si>
  <si>
    <t>2.MD.D</t>
  </si>
  <si>
    <t>3.MD.B</t>
  </si>
  <si>
    <t>4.MD.B</t>
  </si>
  <si>
    <t>5.MD.B</t>
  </si>
  <si>
    <t>6.SP.B</t>
  </si>
  <si>
    <t>Summarize and describe distributions.</t>
  </si>
  <si>
    <t>2.MD.B</t>
  </si>
  <si>
    <t>3.MD.C</t>
  </si>
  <si>
    <t>3.MD.A</t>
  </si>
  <si>
    <t>Solve problems involving measurement and estimation of intervals of time, liquid volumes, and masses of objects.</t>
  </si>
  <si>
    <t>5.MD.C</t>
  </si>
  <si>
    <t>Geometric measurement: understand concepts of volume and relate volume to multiplication and to addition.</t>
  </si>
  <si>
    <t>3.MD.D</t>
  </si>
  <si>
    <t>Geometric measurement: recognize perimeter as an attribute of plane figures and distinguish between linear and area measures.</t>
  </si>
  <si>
    <t>4.MD.C</t>
  </si>
  <si>
    <t>4.MD.A</t>
  </si>
  <si>
    <t>Solve problems involving measurement and conversion of measurements from a larger unit to a smaller unit.</t>
  </si>
  <si>
    <t>5.MD.A</t>
  </si>
  <si>
    <t>3.NF.A</t>
  </si>
  <si>
    <t>4.NF.A</t>
  </si>
  <si>
    <t>4.NF.B</t>
  </si>
  <si>
    <t>Build fractions from unit fractions by applying and extending previous understandings of operations on whole numbers.</t>
  </si>
  <si>
    <t>5.NF.A</t>
  </si>
  <si>
    <t>4.NF.C</t>
  </si>
  <si>
    <t>5.NF.B</t>
  </si>
  <si>
    <t>Apply and extend previous understandings of multiplication and division to multiply and divide fractions.</t>
  </si>
  <si>
    <t>6.NS.A</t>
  </si>
  <si>
    <t>Apply and extend previous understandings of multiplication and division to divide fractions by fractions.</t>
  </si>
  <si>
    <t>7.NS.A</t>
  </si>
  <si>
    <t>Apply and extend previous understandings of operations with fractions to add, subtract,
multiply, and divide rational numbers.</t>
  </si>
  <si>
    <t>6.RP.A</t>
  </si>
  <si>
    <t>Understand ratio concepts and use ratio reasoning to solve problems.</t>
  </si>
  <si>
    <t>7.RP.A</t>
  </si>
  <si>
    <t>Analyze proportional relationships and use them to solve real-world and mathematical problems.</t>
  </si>
  <si>
    <t>Statistics and Probability</t>
  </si>
  <si>
    <t>6.SP.A</t>
  </si>
  <si>
    <t>Develop understanding of statistical variability.</t>
  </si>
  <si>
    <t>7.SP.A</t>
  </si>
  <si>
    <t>Use random sampling to draw inferences about a population.</t>
  </si>
  <si>
    <t>7.SP.B</t>
  </si>
  <si>
    <t>Draw informal comparative inferences about two populations.</t>
  </si>
  <si>
    <t>7.SP.C</t>
  </si>
  <si>
    <t>Investigate chance processes and develop, use, and evaluate probability models.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</si>
</sst>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1">
    <font>
      <sz val="10"/>
      <color rgb="FF000000"/>
      <name val="Arial"/>
    </font>
    <font>
      <b/>
      <sz val="36"/>
      <name val="Droid Sans"/>
    </font>
    <font>
      <sz val="10"/>
      <name val="Arial"/>
    </font>
    <font>
      <sz val="12"/>
      <name val="Droid Sans"/>
    </font>
    <font>
      <sz val="12"/>
      <color rgb="FF000000"/>
      <name val="Droid Sans"/>
    </font>
    <font>
      <sz val="10"/>
      <name val="Droid Sans"/>
    </font>
    <font>
      <sz val="10"/>
      <name val="Arial"/>
    </font>
    <font>
      <b/>
      <sz val="10"/>
      <color rgb="FF38761D"/>
      <name val="Arial"/>
    </font>
    <font>
      <b/>
      <sz val="12"/>
      <color rgb="FFCC0000"/>
      <name val="Arial"/>
    </font>
    <font>
      <b/>
      <sz val="12"/>
      <name val="Arial"/>
    </font>
    <font>
      <b/>
      <sz val="11"/>
      <name val="Arial"/>
    </font>
    <font>
      <b/>
      <sz val="10"/>
      <name val="Arial"/>
    </font>
    <font>
      <b/>
      <sz val="10"/>
      <name val="Arial"/>
    </font>
    <font>
      <b/>
      <sz val="10"/>
      <color rgb="FFFFFFFF"/>
      <name val="Arial"/>
    </font>
    <font>
      <sz val="10"/>
      <name val="Arial"/>
    </font>
    <font>
      <sz val="9"/>
      <color rgb="FF000000"/>
      <name val="Arial"/>
    </font>
    <font>
      <sz val="11"/>
      <name val="Arial"/>
    </font>
    <font>
      <b/>
      <sz val="12"/>
      <color rgb="FF000000"/>
      <name val="Arial"/>
    </font>
    <font>
      <b/>
      <sz val="11"/>
      <color rgb="FFFFFFFF"/>
      <name val="Arial"/>
    </font>
    <font>
      <b/>
      <sz val="11"/>
      <color rgb="FFCC0000"/>
      <name val="Arial"/>
    </font>
    <font>
      <b/>
      <sz val="7"/>
      <color rgb="FF000000"/>
      <name val="Arial"/>
    </font>
    <font>
      <b/>
      <sz val="24"/>
      <color rgb="FF000000"/>
      <name val="Arial"/>
    </font>
    <font>
      <sz val="14"/>
      <name val="Arial"/>
    </font>
    <font>
      <sz val="11"/>
      <color rgb="FF000000"/>
      <name val="Arial"/>
    </font>
    <font>
      <sz val="11"/>
      <color rgb="FF000000"/>
      <name val="Inconsolata"/>
    </font>
    <font>
      <b/>
      <sz val="10"/>
      <color rgb="FFCC0000"/>
      <name val="Arial"/>
    </font>
    <font>
      <sz val="3"/>
      <name val="Arial"/>
    </font>
    <font>
      <b/>
      <u/>
      <sz val="11"/>
      <color rgb="FF0000FF"/>
      <name val="Arial"/>
    </font>
    <font>
      <sz val="8"/>
      <name val="Arial"/>
    </font>
    <font>
      <sz val="9"/>
      <name val="Arial"/>
    </font>
    <font>
      <u/>
      <sz val="10"/>
      <color rgb="FF0000FF"/>
      <name val="Arial"/>
    </font>
    <font>
      <u/>
      <sz val="10"/>
      <color rgb="FF0000FF"/>
      <name val="Arial"/>
    </font>
    <font>
      <b/>
      <u/>
      <sz val="11"/>
      <color rgb="FF0000FF"/>
      <name val="Arial"/>
    </font>
    <font>
      <sz val="10"/>
      <color rgb="FF000000"/>
      <name val="Arial"/>
    </font>
    <font>
      <sz val="12"/>
      <color rgb="FF990000"/>
      <name val="Arial"/>
    </font>
    <font>
      <sz val="10"/>
      <name val="Carter One"/>
    </font>
    <font>
      <sz val="12"/>
      <name val="Carter One"/>
    </font>
    <font>
      <sz val="8"/>
      <name val="Carter One"/>
    </font>
    <font>
      <sz val="11"/>
      <name val="Carter One"/>
    </font>
    <font>
      <sz val="10"/>
      <name val="Comfortaa"/>
    </font>
    <font>
      <u/>
      <sz val="12"/>
      <color rgb="FF1155CC"/>
      <name val="Carter One"/>
    </font>
    <font>
      <u/>
      <sz val="12"/>
      <color rgb="FF1155CC"/>
      <name val="Carter One"/>
    </font>
    <font>
      <sz val="10"/>
      <color rgb="FF6AA84F"/>
      <name val="Comfortaa"/>
    </font>
    <font>
      <sz val="9"/>
      <name val="Comfortaa"/>
    </font>
    <font>
      <sz val="10"/>
      <color rgb="FFFFD966"/>
      <name val="Comfortaa"/>
    </font>
    <font>
      <sz val="10"/>
      <color rgb="FF6D9EEB"/>
      <name val="Comfortaa"/>
    </font>
    <font>
      <sz val="10"/>
      <color rgb="FF000000"/>
      <name val="Comfortaa"/>
    </font>
    <font>
      <b/>
      <sz val="12"/>
      <color rgb="FF000000"/>
      <name val="Droid Sans"/>
    </font>
    <font>
      <b/>
      <sz val="12"/>
      <name val="Droid Sans"/>
    </font>
    <font>
      <sz val="10"/>
      <name val="arial,sans,sans-serif"/>
    </font>
    <font>
      <u/>
      <sz val="10"/>
      <color rgb="FF1155CC"/>
      <name val="arial,sans,sans-serif"/>
    </font>
  </fonts>
  <fills count="28">
    <fill>
      <patternFill patternType="none"/>
    </fill>
    <fill>
      <patternFill patternType="gray125"/>
    </fill>
    <fill>
      <patternFill patternType="solid">
        <fgColor rgb="FFFFFFFF"/>
        <bgColor rgb="FFFFFFFF"/>
      </patternFill>
    </fill>
    <fill>
      <patternFill patternType="solid">
        <fgColor rgb="FFD9D9D9"/>
        <bgColor rgb="FFD9D9D9"/>
      </patternFill>
    </fill>
    <fill>
      <patternFill patternType="solid">
        <fgColor rgb="FFEA9999"/>
        <bgColor rgb="FFEA9999"/>
      </patternFill>
    </fill>
    <fill>
      <patternFill patternType="solid">
        <fgColor rgb="FFCC0000"/>
        <bgColor rgb="FFCC0000"/>
      </patternFill>
    </fill>
    <fill>
      <patternFill patternType="solid">
        <fgColor rgb="FFE2E8FF"/>
        <bgColor rgb="FFE2E8FF"/>
      </patternFill>
    </fill>
    <fill>
      <patternFill patternType="solid">
        <fgColor rgb="FFF9CB9C"/>
        <bgColor rgb="FFF9CB9C"/>
      </patternFill>
    </fill>
    <fill>
      <patternFill patternType="solid">
        <fgColor rgb="FFFFE599"/>
        <bgColor rgb="FFFFE599"/>
      </patternFill>
    </fill>
    <fill>
      <patternFill patternType="solid">
        <fgColor rgb="FFFFD966"/>
        <bgColor rgb="FFFFD966"/>
      </patternFill>
    </fill>
    <fill>
      <patternFill patternType="solid">
        <fgColor rgb="FFB6D7A8"/>
        <bgColor rgb="FFB6D7A8"/>
      </patternFill>
    </fill>
    <fill>
      <patternFill patternType="solid">
        <fgColor rgb="FF93C47D"/>
        <bgColor rgb="FF93C47D"/>
      </patternFill>
    </fill>
    <fill>
      <patternFill patternType="solid">
        <fgColor rgb="FFB4A7D6"/>
        <bgColor rgb="FFB4A7D6"/>
      </patternFill>
    </fill>
    <fill>
      <patternFill patternType="solid">
        <fgColor rgb="FFD9D2E9"/>
        <bgColor rgb="FFD9D2E9"/>
      </patternFill>
    </fill>
    <fill>
      <patternFill patternType="solid">
        <fgColor rgb="FF8E7CC3"/>
        <bgColor rgb="FF8E7CC3"/>
      </patternFill>
    </fill>
    <fill>
      <patternFill patternType="solid">
        <fgColor rgb="FF000000"/>
        <bgColor rgb="FF000000"/>
      </patternFill>
    </fill>
    <fill>
      <patternFill patternType="solid">
        <fgColor rgb="FFE06666"/>
        <bgColor rgb="FFE06666"/>
      </patternFill>
    </fill>
    <fill>
      <patternFill patternType="solid">
        <fgColor rgb="FFF6B26B"/>
        <bgColor rgb="FFF6B26B"/>
      </patternFill>
    </fill>
    <fill>
      <patternFill patternType="solid">
        <fgColor rgb="FFE69138"/>
        <bgColor rgb="FFE69138"/>
      </patternFill>
    </fill>
    <fill>
      <patternFill patternType="solid">
        <fgColor rgb="FF6AA84F"/>
        <bgColor rgb="FF6AA84F"/>
      </patternFill>
    </fill>
    <fill>
      <patternFill patternType="solid">
        <fgColor rgb="FFD9EAD3"/>
        <bgColor rgb="FFD9EAD3"/>
      </patternFill>
    </fill>
    <fill>
      <patternFill patternType="solid">
        <fgColor rgb="FFB45F06"/>
        <bgColor rgb="FFB45F06"/>
      </patternFill>
    </fill>
    <fill>
      <patternFill patternType="solid">
        <fgColor rgb="FF9FC5E8"/>
        <bgColor rgb="FF9FC5E8"/>
      </patternFill>
    </fill>
    <fill>
      <patternFill patternType="solid">
        <fgColor rgb="FF6FA8DC"/>
        <bgColor rgb="FF6FA8DC"/>
      </patternFill>
    </fill>
    <fill>
      <patternFill patternType="solid">
        <fgColor rgb="FF3D85C6"/>
        <bgColor rgb="FF3D85C6"/>
      </patternFill>
    </fill>
    <fill>
      <patternFill patternType="solid">
        <fgColor rgb="FFDD7E6B"/>
        <bgColor rgb="FFDD7E6B"/>
      </patternFill>
    </fill>
    <fill>
      <patternFill patternType="solid">
        <fgColor rgb="FF6D9EEB"/>
        <bgColor rgb="FF6D9EEB"/>
      </patternFill>
    </fill>
    <fill>
      <patternFill patternType="solid">
        <fgColor rgb="FF674EA7"/>
        <bgColor rgb="FF674EA7"/>
      </patternFill>
    </fill>
  </fills>
  <borders count="36">
    <border>
      <left/>
      <right/>
      <top/>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right style="thin">
        <color rgb="FF000000"/>
      </right>
      <top/>
      <bottom/>
      <diagonal/>
    </border>
    <border>
      <left/>
      <right/>
      <top/>
      <bottom style="medium">
        <color rgb="FF000000"/>
      </bottom>
      <diagonal/>
    </border>
    <border>
      <left/>
      <right style="medium">
        <color rgb="FF000000"/>
      </right>
      <top/>
      <bottom style="medium">
        <color rgb="FF000000"/>
      </bottom>
      <diagonal/>
    </border>
    <border>
      <left/>
      <right style="medium">
        <color rgb="FF000000"/>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style="medium">
        <color rgb="FF000000"/>
      </left>
      <right style="medium">
        <color rgb="FF000000"/>
      </right>
      <top/>
      <bottom/>
      <diagonal/>
    </border>
    <border>
      <left style="medium">
        <color rgb="FF000000"/>
      </left>
      <right/>
      <top/>
      <bottom/>
      <diagonal/>
    </border>
    <border>
      <left style="medium">
        <color rgb="FF000000"/>
      </left>
      <right/>
      <top/>
      <bottom style="medium">
        <color rgb="FF000000"/>
      </bottom>
      <diagonal/>
    </border>
    <border>
      <left/>
      <right/>
      <top/>
      <bottom style="thick">
        <color rgb="FF000000"/>
      </bottom>
      <diagonal/>
    </border>
    <border>
      <left style="medium">
        <color rgb="FF000000"/>
      </left>
      <right style="medium">
        <color rgb="FF000000"/>
      </right>
      <top/>
      <bottom style="thick">
        <color rgb="FF000000"/>
      </bottom>
      <diagonal/>
    </border>
    <border>
      <left/>
      <right style="medium">
        <color rgb="FF000000"/>
      </right>
      <top/>
      <bottom style="thick">
        <color rgb="FF000000"/>
      </bottom>
      <diagonal/>
    </border>
    <border>
      <left/>
      <right style="thick">
        <color rgb="FF000000"/>
      </right>
      <top/>
      <bottom style="medium">
        <color rgb="FF000000"/>
      </bottom>
      <diagonal/>
    </border>
    <border>
      <left style="thick">
        <color rgb="FF000000"/>
      </left>
      <right/>
      <top/>
      <bottom style="medium">
        <color rgb="FF000000"/>
      </bottom>
      <diagonal/>
    </border>
    <border>
      <left style="thick">
        <color rgb="FF000000"/>
      </left>
      <right style="medium">
        <color rgb="FF000000"/>
      </right>
      <top/>
      <bottom style="medium">
        <color rgb="FF000000"/>
      </bottom>
      <diagonal/>
    </border>
    <border>
      <left style="medium">
        <color rgb="FF000000"/>
      </left>
      <right style="thick">
        <color rgb="FF000000"/>
      </right>
      <top/>
      <bottom/>
      <diagonal/>
    </border>
    <border>
      <left style="thick">
        <color rgb="FF000000"/>
      </left>
      <right/>
      <top/>
      <bottom/>
      <diagonal/>
    </border>
    <border>
      <left style="medium">
        <color rgb="FF000000"/>
      </left>
      <right style="thick">
        <color rgb="FF000000"/>
      </right>
      <top/>
      <bottom style="medium">
        <color rgb="FF000000"/>
      </bottom>
      <diagonal/>
    </border>
    <border>
      <left/>
      <right style="thick">
        <color rgb="FF000000"/>
      </right>
      <top/>
      <bottom/>
      <diagonal/>
    </border>
    <border>
      <left/>
      <right style="thin">
        <color rgb="FFD9D9D9"/>
      </right>
      <top/>
      <bottom style="medium">
        <color rgb="FF000000"/>
      </bottom>
      <diagonal/>
    </border>
    <border>
      <left/>
      <right/>
      <top style="thin">
        <color rgb="FFD9D9D9"/>
      </top>
      <bottom style="medium">
        <color rgb="FF000000"/>
      </bottom>
      <diagonal/>
    </border>
    <border>
      <left/>
      <right style="thin">
        <color rgb="FFD9D9D9"/>
      </right>
      <top style="thin">
        <color rgb="FFD9D9D9"/>
      </top>
      <bottom style="medium">
        <color rgb="FF000000"/>
      </bottom>
      <diagonal/>
    </border>
    <border>
      <left/>
      <right/>
      <top/>
      <bottom style="thin">
        <color rgb="FFD9D9D9"/>
      </bottom>
      <diagonal/>
    </border>
    <border>
      <left/>
      <right style="thick">
        <color rgb="FF000000"/>
      </right>
      <top/>
      <bottom style="thin">
        <color rgb="FFD9D9D9"/>
      </bottom>
      <diagonal/>
    </border>
    <border>
      <left style="thick">
        <color rgb="FF000000"/>
      </left>
      <right style="thin">
        <color rgb="FFD9D9D9"/>
      </right>
      <top/>
      <bottom style="thin">
        <color rgb="FFD9D9D9"/>
      </bottom>
      <diagonal/>
    </border>
    <border>
      <left/>
      <right style="thin">
        <color rgb="FFD9D9D9"/>
      </right>
      <top/>
      <bottom style="thin">
        <color rgb="FFD9D9D9"/>
      </bottom>
      <diagonal/>
    </border>
    <border>
      <left style="thick">
        <color rgb="FF000000"/>
      </left>
      <right/>
      <top/>
      <bottom style="thin">
        <color rgb="FFD9D9D9"/>
      </bottom>
      <diagonal/>
    </border>
    <border>
      <left style="thick">
        <color rgb="FF000000"/>
      </left>
      <right style="thin">
        <color rgb="FFD9D9D9"/>
      </right>
      <top/>
      <bottom/>
      <diagonal/>
    </border>
    <border>
      <left/>
      <right style="thin">
        <color rgb="FFD9D9D9"/>
      </right>
      <top/>
      <bottom/>
      <diagonal/>
    </border>
  </borders>
  <cellStyleXfs count="1">
    <xf numFmtId="0" fontId="0" fillId="0" borderId="0"/>
  </cellStyleXfs>
  <cellXfs count="274">
    <xf numFmtId="0" fontId="0" fillId="0" borderId="0" xfId="0" applyFont="1" applyAlignment="1"/>
    <xf numFmtId="0" fontId="3" fillId="0" borderId="4" xfId="0" applyFont="1" applyBorder="1"/>
    <xf numFmtId="0" fontId="3" fillId="0" borderId="4" xfId="0" applyFont="1" applyBorder="1" applyAlignment="1"/>
    <xf numFmtId="0" fontId="2" fillId="0" borderId="4" xfId="0" applyFont="1" applyBorder="1"/>
    <xf numFmtId="0" fontId="5" fillId="0" borderId="4" xfId="0" applyFont="1" applyBorder="1"/>
    <xf numFmtId="0" fontId="6" fillId="0" borderId="0" xfId="0" applyFont="1" applyAlignment="1"/>
    <xf numFmtId="0" fontId="6" fillId="0" borderId="0" xfId="0" applyFont="1"/>
    <xf numFmtId="0" fontId="6" fillId="0" borderId="0" xfId="0" applyFont="1" applyAlignment="1"/>
    <xf numFmtId="0" fontId="6" fillId="0" borderId="5" xfId="0" applyFont="1" applyBorder="1" applyAlignment="1"/>
    <xf numFmtId="0" fontId="10" fillId="3" borderId="7" xfId="0" applyFont="1" applyFill="1" applyBorder="1" applyAlignment="1">
      <alignment horizontal="center"/>
    </xf>
    <xf numFmtId="0" fontId="11" fillId="3" borderId="7" xfId="0" applyFont="1" applyFill="1" applyBorder="1" applyAlignment="1">
      <alignment horizontal="center"/>
    </xf>
    <xf numFmtId="0" fontId="9" fillId="3" borderId="7" xfId="0" applyFont="1" applyFill="1" applyBorder="1" applyAlignment="1">
      <alignment horizontal="center" wrapText="1"/>
    </xf>
    <xf numFmtId="0" fontId="10" fillId="3" borderId="7" xfId="0" applyFont="1" applyFill="1" applyBorder="1" applyAlignment="1">
      <alignment horizontal="center"/>
    </xf>
    <xf numFmtId="0" fontId="12" fillId="4" borderId="9" xfId="0" applyFont="1" applyFill="1" applyBorder="1" applyAlignment="1">
      <alignment horizontal="center" vertical="center" textRotation="90" wrapText="1"/>
    </xf>
    <xf numFmtId="0" fontId="6" fillId="4" borderId="9" xfId="0" applyFont="1" applyFill="1" applyBorder="1" applyAlignment="1">
      <alignment horizontal="center" vertical="center" wrapText="1"/>
    </xf>
    <xf numFmtId="0" fontId="13" fillId="5" borderId="7" xfId="0" applyFont="1" applyFill="1" applyBorder="1" applyAlignment="1">
      <alignment horizontal="center" vertical="center" wrapText="1"/>
    </xf>
    <xf numFmtId="0" fontId="2" fillId="0" borderId="6" xfId="0" applyFont="1" applyBorder="1" applyAlignment="1">
      <alignment vertical="center"/>
    </xf>
    <xf numFmtId="0" fontId="2" fillId="0" borderId="6" xfId="0" applyFont="1" applyBorder="1" applyAlignment="1">
      <alignment horizontal="left" vertical="center" wrapText="1"/>
    </xf>
    <xf numFmtId="0" fontId="6" fillId="6" borderId="10" xfId="0" applyFont="1" applyFill="1" applyBorder="1" applyAlignment="1">
      <alignment vertical="center"/>
    </xf>
    <xf numFmtId="0" fontId="6" fillId="6" borderId="7" xfId="0" applyFont="1" applyFill="1" applyBorder="1" applyAlignment="1">
      <alignment vertical="center"/>
    </xf>
    <xf numFmtId="0" fontId="6" fillId="6" borderId="7" xfId="0" applyFont="1" applyFill="1" applyBorder="1" applyAlignment="1">
      <alignment vertical="center" wrapText="1"/>
    </xf>
    <xf numFmtId="0" fontId="13" fillId="5" borderId="13" xfId="0" applyFont="1" applyFill="1" applyBorder="1" applyAlignment="1">
      <alignment horizontal="center" vertical="center" wrapText="1"/>
    </xf>
    <xf numFmtId="0" fontId="2" fillId="0" borderId="0" xfId="0" applyFont="1" applyAlignment="1">
      <alignment vertical="center"/>
    </xf>
    <xf numFmtId="0" fontId="2" fillId="0" borderId="0" xfId="0" applyFont="1" applyAlignment="1">
      <alignment horizontal="left" vertical="center" wrapText="1"/>
    </xf>
    <xf numFmtId="0" fontId="6" fillId="6" borderId="13" xfId="0" applyFont="1" applyFill="1" applyBorder="1" applyAlignment="1">
      <alignment vertical="center"/>
    </xf>
    <xf numFmtId="0" fontId="6" fillId="6" borderId="8" xfId="0" applyFont="1" applyFill="1" applyBorder="1" applyAlignment="1">
      <alignment vertical="center"/>
    </xf>
    <xf numFmtId="0" fontId="6" fillId="6" borderId="8" xfId="0" applyFont="1" applyFill="1" applyBorder="1" applyAlignment="1">
      <alignment vertical="center"/>
    </xf>
    <xf numFmtId="0" fontId="13" fillId="5" borderId="10" xfId="0" applyFont="1" applyFill="1" applyBorder="1" applyAlignment="1">
      <alignment horizontal="center" vertical="center" wrapText="1"/>
    </xf>
    <xf numFmtId="0" fontId="6" fillId="6" borderId="7" xfId="0" applyFont="1" applyFill="1" applyBorder="1" applyAlignment="1">
      <alignment vertical="center"/>
    </xf>
    <xf numFmtId="0" fontId="6" fillId="0" borderId="6" xfId="0" applyFont="1" applyBorder="1" applyAlignment="1">
      <alignment vertical="center"/>
    </xf>
    <xf numFmtId="0" fontId="6" fillId="0" borderId="6" xfId="0" applyFont="1" applyBorder="1" applyAlignment="1">
      <alignment horizontal="left" vertical="center" wrapText="1"/>
    </xf>
    <xf numFmtId="0" fontId="6" fillId="11" borderId="9" xfId="0" applyFont="1" applyFill="1" applyBorder="1" applyAlignment="1">
      <alignment horizontal="center" vertical="center" wrapText="1"/>
    </xf>
    <xf numFmtId="0" fontId="14" fillId="6" borderId="7" xfId="0" applyFont="1" applyFill="1" applyBorder="1" applyAlignment="1">
      <alignment vertical="center" wrapText="1"/>
    </xf>
    <xf numFmtId="0" fontId="15" fillId="6" borderId="0" xfId="0" applyFont="1" applyFill="1" applyAlignment="1">
      <alignment horizontal="left" wrapText="1"/>
    </xf>
    <xf numFmtId="0" fontId="6" fillId="6" borderId="8" xfId="0" applyFont="1" applyFill="1" applyBorder="1" applyAlignment="1">
      <alignment vertical="center" wrapText="1"/>
    </xf>
    <xf numFmtId="0" fontId="16" fillId="6" borderId="7" xfId="0" applyFont="1" applyFill="1" applyBorder="1" applyAlignment="1">
      <alignment vertical="center" wrapText="1"/>
    </xf>
    <xf numFmtId="0" fontId="6" fillId="15" borderId="0" xfId="0" applyFont="1" applyFill="1" applyAlignment="1">
      <alignment horizontal="center" vertical="center" wrapText="1"/>
    </xf>
    <xf numFmtId="0" fontId="17" fillId="3" borderId="0" xfId="0" applyFont="1" applyFill="1" applyAlignment="1">
      <alignment horizontal="center" vertical="center" textRotation="90" wrapText="1"/>
    </xf>
    <xf numFmtId="0" fontId="18" fillId="5" borderId="0" xfId="0" applyFont="1" applyFill="1" applyAlignment="1">
      <alignment horizontal="center" vertical="center" wrapText="1"/>
    </xf>
    <xf numFmtId="0" fontId="19" fillId="0" borderId="0" xfId="0" applyFont="1" applyAlignment="1">
      <alignment horizontal="left" vertical="center" wrapText="1"/>
    </xf>
    <xf numFmtId="0" fontId="17" fillId="0" borderId="0" xfId="0" applyFont="1" applyAlignment="1">
      <alignment horizontal="center" vertical="center" wrapText="1"/>
    </xf>
    <xf numFmtId="0" fontId="20" fillId="3" borderId="0" xfId="0" applyFont="1" applyFill="1" applyAlignment="1">
      <alignment horizontal="center" vertical="center" textRotation="90" wrapText="1"/>
    </xf>
    <xf numFmtId="1" fontId="21" fillId="0" borderId="0" xfId="0" applyNumberFormat="1" applyFont="1" applyAlignment="1">
      <alignment horizontal="center" vertical="center" wrapText="1"/>
    </xf>
    <xf numFmtId="0" fontId="6" fillId="0" borderId="0" xfId="0" applyFont="1" applyAlignment="1">
      <alignment horizontal="center" vertical="center"/>
    </xf>
    <xf numFmtId="0" fontId="6" fillId="0" borderId="5" xfId="0" applyFont="1" applyBorder="1" applyAlignment="1">
      <alignment horizontal="center" vertical="center"/>
    </xf>
    <xf numFmtId="0" fontId="16" fillId="0" borderId="7" xfId="0" applyFont="1" applyBorder="1" applyAlignment="1">
      <alignment horizontal="right"/>
    </xf>
    <xf numFmtId="0" fontId="22" fillId="0" borderId="0" xfId="0" applyFont="1" applyAlignment="1">
      <alignment horizontal="center" vertical="center" wrapText="1"/>
    </xf>
    <xf numFmtId="0" fontId="6" fillId="0" borderId="0" xfId="0" applyFont="1" applyAlignment="1">
      <alignment wrapText="1"/>
    </xf>
    <xf numFmtId="0" fontId="6" fillId="6" borderId="0" xfId="0" applyFont="1" applyFill="1" applyAlignment="1">
      <alignment vertical="center"/>
    </xf>
    <xf numFmtId="0" fontId="6" fillId="6" borderId="0" xfId="0" applyFont="1" applyFill="1" applyAlignment="1">
      <alignment vertical="center"/>
    </xf>
    <xf numFmtId="0" fontId="6" fillId="0" borderId="0" xfId="0" applyFont="1" applyAlignment="1"/>
    <xf numFmtId="0" fontId="10" fillId="3" borderId="7" xfId="0" applyFont="1" applyFill="1" applyBorder="1" applyAlignment="1">
      <alignment horizontal="center" vertical="center"/>
    </xf>
    <xf numFmtId="0" fontId="11" fillId="3" borderId="7" xfId="0" applyFont="1" applyFill="1" applyBorder="1" applyAlignment="1">
      <alignment horizontal="center" vertical="center"/>
    </xf>
    <xf numFmtId="0" fontId="9" fillId="3" borderId="7" xfId="0" applyFont="1" applyFill="1" applyBorder="1" applyAlignment="1">
      <alignment horizontal="center" vertical="center" wrapText="1"/>
    </xf>
    <xf numFmtId="0" fontId="10" fillId="3" borderId="7" xfId="0" applyFont="1" applyFill="1" applyBorder="1" applyAlignment="1">
      <alignment horizontal="center" vertical="center"/>
    </xf>
    <xf numFmtId="0" fontId="6" fillId="0" borderId="6" xfId="0" applyFont="1" applyBorder="1" applyAlignment="1">
      <alignment horizontal="center" vertical="center"/>
    </xf>
    <xf numFmtId="0" fontId="6" fillId="6" borderId="10" xfId="0" applyFont="1" applyFill="1" applyBorder="1" applyAlignment="1">
      <alignment horizontal="center" vertical="center"/>
    </xf>
    <xf numFmtId="0" fontId="6" fillId="6" borderId="7" xfId="0" applyFont="1" applyFill="1" applyBorder="1" applyAlignment="1">
      <alignment horizontal="center" vertical="center"/>
    </xf>
    <xf numFmtId="0" fontId="6" fillId="6" borderId="7" xfId="0" applyFont="1" applyFill="1" applyBorder="1" applyAlignment="1">
      <alignment horizontal="left" vertical="center" wrapText="1"/>
    </xf>
    <xf numFmtId="0" fontId="6" fillId="0" borderId="0" xfId="0" applyFont="1" applyAlignment="1">
      <alignment horizontal="left" vertical="center" wrapText="1"/>
    </xf>
    <xf numFmtId="0" fontId="6" fillId="6" borderId="13" xfId="0" applyFont="1" applyFill="1" applyBorder="1" applyAlignment="1">
      <alignment horizontal="center" vertical="center"/>
    </xf>
    <xf numFmtId="0" fontId="6" fillId="6" borderId="8" xfId="0" applyFont="1" applyFill="1" applyBorder="1" applyAlignment="1">
      <alignment horizontal="center" vertical="center"/>
    </xf>
    <xf numFmtId="0" fontId="23" fillId="6" borderId="8" xfId="0" applyFont="1" applyFill="1" applyBorder="1" applyAlignment="1">
      <alignment wrapText="1"/>
    </xf>
    <xf numFmtId="0" fontId="6" fillId="6" borderId="13" xfId="0" applyFont="1" applyFill="1" applyBorder="1" applyAlignment="1">
      <alignment horizontal="center" vertical="center"/>
    </xf>
    <xf numFmtId="0" fontId="6" fillId="6" borderId="8" xfId="0" applyFont="1" applyFill="1" applyBorder="1" applyAlignment="1">
      <alignment horizontal="center" vertical="center" wrapText="1"/>
    </xf>
    <xf numFmtId="0" fontId="6" fillId="6" borderId="8" xfId="0" applyFont="1" applyFill="1" applyBorder="1" applyAlignment="1">
      <alignment horizontal="left" vertical="center" wrapText="1"/>
    </xf>
    <xf numFmtId="0" fontId="6" fillId="6" borderId="10" xfId="0" applyFont="1" applyFill="1" applyBorder="1" applyAlignment="1">
      <alignment horizontal="center" vertical="center"/>
    </xf>
    <xf numFmtId="0" fontId="6" fillId="6" borderId="7" xfId="0" applyFont="1" applyFill="1" applyBorder="1" applyAlignment="1">
      <alignment horizontal="center" vertical="center" wrapText="1"/>
    </xf>
    <xf numFmtId="0" fontId="23" fillId="6" borderId="0" xfId="0" applyFont="1" applyFill="1" applyAlignment="1">
      <alignment wrapText="1"/>
    </xf>
    <xf numFmtId="0" fontId="24" fillId="6" borderId="0" xfId="0" applyFont="1" applyFill="1" applyAlignment="1">
      <alignment wrapText="1"/>
    </xf>
    <xf numFmtId="0" fontId="6" fillId="0" borderId="0" xfId="0" applyFont="1" applyAlignment="1">
      <alignment horizontal="center" vertical="center"/>
    </xf>
    <xf numFmtId="0" fontId="6" fillId="0" borderId="6" xfId="0" applyFont="1" applyBorder="1" applyAlignment="1">
      <alignment horizontal="center" vertical="center"/>
    </xf>
    <xf numFmtId="0" fontId="6" fillId="19" borderId="9" xfId="0" applyFont="1" applyFill="1" applyBorder="1" applyAlignment="1">
      <alignment horizontal="center" vertical="center" wrapText="1"/>
    </xf>
    <xf numFmtId="0" fontId="6" fillId="6" borderId="7" xfId="0" applyFont="1" applyFill="1" applyBorder="1" applyAlignment="1">
      <alignment horizontal="center" vertical="center"/>
    </xf>
    <xf numFmtId="0" fontId="25" fillId="0" borderId="0" xfId="0" applyFont="1" applyAlignment="1">
      <alignment horizontal="left" vertical="center" wrapText="1"/>
    </xf>
    <xf numFmtId="0" fontId="6" fillId="0" borderId="7" xfId="0" applyFont="1" applyBorder="1" applyAlignment="1">
      <alignment horizontal="right"/>
    </xf>
    <xf numFmtId="0" fontId="26" fillId="0" borderId="0" xfId="0" applyFont="1" applyAlignment="1"/>
    <xf numFmtId="0" fontId="6" fillId="6" borderId="0" xfId="0" applyFont="1" applyFill="1" applyAlignment="1">
      <alignment horizontal="center" vertical="center"/>
    </xf>
    <xf numFmtId="0" fontId="6" fillId="6" borderId="0" xfId="0" applyFont="1" applyFill="1" applyAlignment="1">
      <alignment horizontal="center" vertical="center"/>
    </xf>
    <xf numFmtId="0" fontId="6" fillId="0" borderId="0" xfId="0" applyFont="1" applyAlignment="1">
      <alignment vertical="center"/>
    </xf>
    <xf numFmtId="0" fontId="6" fillId="0" borderId="5" xfId="0" applyFont="1" applyBorder="1" applyAlignment="1">
      <alignment vertical="center"/>
    </xf>
    <xf numFmtId="0" fontId="9" fillId="3" borderId="7" xfId="0" applyFont="1" applyFill="1" applyBorder="1" applyAlignment="1">
      <alignment horizontal="center" vertical="center"/>
    </xf>
    <xf numFmtId="0" fontId="6" fillId="0" borderId="6" xfId="0" applyFont="1" applyBorder="1" applyAlignment="1">
      <alignment vertical="center" wrapText="1"/>
    </xf>
    <xf numFmtId="0" fontId="6" fillId="0" borderId="0" xfId="0" applyFont="1" applyAlignment="1">
      <alignment vertical="center" wrapText="1"/>
    </xf>
    <xf numFmtId="0" fontId="6" fillId="7" borderId="9" xfId="0" applyFont="1" applyFill="1" applyBorder="1" applyAlignment="1">
      <alignment horizontal="center" vertical="center" wrapText="1"/>
    </xf>
    <xf numFmtId="0" fontId="6" fillId="17" borderId="9" xfId="0" applyFont="1" applyFill="1" applyBorder="1" applyAlignment="1">
      <alignment horizontal="center" vertical="center" wrapText="1"/>
    </xf>
    <xf numFmtId="0" fontId="12" fillId="10" borderId="0" xfId="0" applyFont="1" applyFill="1" applyAlignment="1">
      <alignment horizontal="center" vertical="center" textRotation="90" wrapText="1"/>
    </xf>
    <xf numFmtId="0" fontId="6" fillId="10" borderId="0" xfId="0" applyFont="1" applyFill="1" applyAlignment="1">
      <alignment horizontal="center" vertical="center" wrapText="1"/>
    </xf>
    <xf numFmtId="0" fontId="13" fillId="5" borderId="0" xfId="0" applyFont="1" applyFill="1" applyAlignment="1">
      <alignment horizontal="center" vertical="center" wrapText="1"/>
    </xf>
    <xf numFmtId="0" fontId="6" fillId="0" borderId="0" xfId="0" applyFont="1" applyAlignment="1">
      <alignment wrapText="1"/>
    </xf>
    <xf numFmtId="0" fontId="27" fillId="3" borderId="7" xfId="0" applyFont="1" applyFill="1" applyBorder="1" applyAlignment="1">
      <alignment horizontal="center" vertical="center"/>
    </xf>
    <xf numFmtId="0" fontId="10" fillId="3" borderId="7" xfId="0" applyFont="1" applyFill="1" applyBorder="1" applyAlignment="1">
      <alignment horizontal="center" vertical="center" wrapText="1"/>
    </xf>
    <xf numFmtId="0" fontId="28" fillId="6" borderId="8" xfId="0" applyFont="1" applyFill="1" applyBorder="1" applyAlignment="1">
      <alignment horizontal="center" vertical="center" wrapText="1"/>
    </xf>
    <xf numFmtId="0" fontId="6" fillId="0" borderId="0" xfId="0" applyFont="1" applyAlignment="1">
      <alignment horizontal="left" vertical="center" wrapText="1"/>
    </xf>
    <xf numFmtId="0" fontId="6" fillId="0" borderId="16" xfId="0" applyFont="1" applyBorder="1" applyAlignment="1">
      <alignment horizontal="center" vertical="center"/>
    </xf>
    <xf numFmtId="0" fontId="6" fillId="0" borderId="16" xfId="0" applyFont="1" applyBorder="1" applyAlignment="1">
      <alignment horizontal="left" vertical="center" wrapText="1"/>
    </xf>
    <xf numFmtId="0" fontId="6" fillId="6" borderId="17" xfId="0" applyFont="1" applyFill="1" applyBorder="1" applyAlignment="1">
      <alignment horizontal="center" vertical="center"/>
    </xf>
    <xf numFmtId="0" fontId="6" fillId="6" borderId="18" xfId="0" applyFont="1" applyFill="1" applyBorder="1" applyAlignment="1">
      <alignment horizontal="center" vertical="center"/>
    </xf>
    <xf numFmtId="0" fontId="6" fillId="6" borderId="18" xfId="0" applyFont="1" applyFill="1" applyBorder="1" applyAlignment="1">
      <alignment horizontal="center" vertical="center" wrapText="1"/>
    </xf>
    <xf numFmtId="0" fontId="29" fillId="6" borderId="13" xfId="0" applyFont="1" applyFill="1" applyBorder="1" applyAlignment="1">
      <alignment horizontal="center" vertical="center"/>
    </xf>
    <xf numFmtId="0" fontId="29" fillId="6" borderId="8" xfId="0" applyFont="1" applyFill="1" applyBorder="1" applyAlignment="1">
      <alignment horizontal="center" vertical="center" wrapText="1"/>
    </xf>
    <xf numFmtId="0" fontId="6" fillId="18" borderId="9" xfId="0" applyFont="1" applyFill="1" applyBorder="1" applyAlignment="1">
      <alignment horizontal="center" vertical="center" wrapText="1"/>
    </xf>
    <xf numFmtId="0" fontId="30" fillId="6" borderId="7" xfId="0" applyFont="1" applyFill="1" applyBorder="1" applyAlignment="1">
      <alignment horizontal="center" vertical="center" wrapText="1"/>
    </xf>
    <xf numFmtId="0" fontId="31" fillId="6" borderId="8" xfId="0" applyFont="1" applyFill="1" applyBorder="1" applyAlignment="1">
      <alignment horizontal="center" vertical="center" wrapText="1"/>
    </xf>
    <xf numFmtId="0" fontId="6" fillId="6" borderId="8" xfId="0" applyFont="1" applyFill="1" applyBorder="1" applyAlignment="1">
      <alignment horizontal="center" vertical="center" wrapText="1"/>
    </xf>
    <xf numFmtId="0" fontId="19" fillId="6" borderId="0" xfId="0" applyFont="1" applyFill="1" applyAlignment="1">
      <alignment horizontal="left" vertical="center" wrapText="1"/>
    </xf>
    <xf numFmtId="0" fontId="10" fillId="3" borderId="7" xfId="0" applyFont="1" applyFill="1" applyBorder="1" applyAlignment="1">
      <alignment horizontal="center" wrapText="1"/>
    </xf>
    <xf numFmtId="0" fontId="2" fillId="6" borderId="0" xfId="0" applyFont="1" applyFill="1" applyAlignment="1"/>
    <xf numFmtId="0" fontId="2" fillId="6" borderId="0" xfId="0" applyFont="1" applyFill="1"/>
    <xf numFmtId="0" fontId="2" fillId="0" borderId="0" xfId="0" applyFont="1" applyAlignment="1">
      <alignment vertical="center" wrapText="1"/>
    </xf>
    <xf numFmtId="0" fontId="11" fillId="3" borderId="7" xfId="0" applyFont="1" applyFill="1" applyBorder="1" applyAlignment="1">
      <alignment horizontal="center" vertical="center" wrapText="1"/>
    </xf>
    <xf numFmtId="0" fontId="32" fillId="3" borderId="7" xfId="0" applyFont="1" applyFill="1" applyBorder="1" applyAlignment="1">
      <alignment horizontal="center" vertical="center" wrapText="1"/>
    </xf>
    <xf numFmtId="0" fontId="6" fillId="0" borderId="0" xfId="0" applyFont="1" applyAlignment="1">
      <alignment horizontal="center" vertical="center" wrapText="1"/>
    </xf>
    <xf numFmtId="0" fontId="6" fillId="6" borderId="13" xfId="0" applyFont="1" applyFill="1" applyBorder="1" applyAlignment="1">
      <alignment vertical="center" wrapText="1"/>
    </xf>
    <xf numFmtId="0" fontId="6" fillId="6" borderId="8" xfId="0" applyFont="1" applyFill="1" applyBorder="1" applyAlignment="1">
      <alignment vertical="center" wrapText="1"/>
    </xf>
    <xf numFmtId="0" fontId="6" fillId="0" borderId="0" xfId="0" applyFont="1" applyAlignment="1">
      <alignment horizontal="center" vertical="center" wrapText="1"/>
    </xf>
    <xf numFmtId="0" fontId="6" fillId="0" borderId="0" xfId="0" applyFont="1" applyAlignment="1">
      <alignment vertical="center" wrapText="1"/>
    </xf>
    <xf numFmtId="0" fontId="6" fillId="6" borderId="13" xfId="0" applyFont="1" applyFill="1" applyBorder="1" applyAlignment="1">
      <alignment vertical="center" wrapText="1"/>
    </xf>
    <xf numFmtId="0" fontId="6" fillId="0" borderId="6" xfId="0" applyFont="1" applyBorder="1" applyAlignment="1">
      <alignment horizontal="center" vertical="center" wrapText="1"/>
    </xf>
    <xf numFmtId="0" fontId="6" fillId="6" borderId="10" xfId="0" applyFont="1" applyFill="1" applyBorder="1" applyAlignment="1">
      <alignment vertical="center" wrapText="1"/>
    </xf>
    <xf numFmtId="0" fontId="6" fillId="6" borderId="10" xfId="0" applyFont="1" applyFill="1" applyBorder="1" applyAlignment="1">
      <alignment vertical="center" wrapText="1"/>
    </xf>
    <xf numFmtId="0" fontId="6" fillId="6" borderId="7" xfId="0" applyFont="1" applyFill="1" applyBorder="1" applyAlignment="1">
      <alignment vertical="center" wrapText="1"/>
    </xf>
    <xf numFmtId="0" fontId="6" fillId="10" borderId="9" xfId="0" applyFont="1" applyFill="1" applyBorder="1" applyAlignment="1">
      <alignment horizontal="center" vertical="center" wrapText="1"/>
    </xf>
    <xf numFmtId="0" fontId="6" fillId="6" borderId="0" xfId="0" applyFont="1" applyFill="1" applyAlignment="1">
      <alignment vertical="center" wrapText="1"/>
    </xf>
    <xf numFmtId="0" fontId="6" fillId="6" borderId="0" xfId="0" applyFont="1" applyFill="1" applyAlignment="1">
      <alignment vertical="center" wrapText="1"/>
    </xf>
    <xf numFmtId="0" fontId="6" fillId="0" borderId="0" xfId="0" applyFont="1" applyAlignment="1">
      <alignment vertical="center"/>
    </xf>
    <xf numFmtId="0" fontId="6" fillId="0" borderId="0" xfId="0" applyFont="1" applyAlignment="1">
      <alignment vertical="center" wrapText="1"/>
    </xf>
    <xf numFmtId="0" fontId="6" fillId="6" borderId="13" xfId="0" applyFont="1" applyFill="1" applyBorder="1" applyAlignment="1">
      <alignment horizontal="center" vertical="center" wrapText="1"/>
    </xf>
    <xf numFmtId="0" fontId="6" fillId="6" borderId="8" xfId="0" applyFont="1" applyFill="1" applyBorder="1" applyAlignment="1">
      <alignment horizontal="left" vertical="center" wrapText="1"/>
    </xf>
    <xf numFmtId="0" fontId="6" fillId="6" borderId="13" xfId="0" applyFont="1" applyFill="1" applyBorder="1" applyAlignment="1">
      <alignment horizontal="center" vertical="center" wrapText="1"/>
    </xf>
    <xf numFmtId="0" fontId="6" fillId="6" borderId="10" xfId="0" applyFont="1" applyFill="1" applyBorder="1" applyAlignment="1">
      <alignment horizontal="center" vertical="center" wrapText="1"/>
    </xf>
    <xf numFmtId="0" fontId="6" fillId="6" borderId="7" xfId="0" applyFont="1" applyFill="1" applyBorder="1" applyAlignment="1">
      <alignment horizontal="left" vertical="center" wrapText="1"/>
    </xf>
    <xf numFmtId="0" fontId="33" fillId="6" borderId="0" xfId="0" applyFont="1" applyFill="1" applyAlignment="1">
      <alignment horizontal="left" wrapText="1"/>
    </xf>
    <xf numFmtId="0" fontId="6" fillId="6" borderId="10" xfId="0" applyFont="1" applyFill="1" applyBorder="1" applyAlignment="1">
      <alignment horizontal="center" vertical="center" wrapText="1"/>
    </xf>
    <xf numFmtId="0" fontId="6" fillId="0" borderId="0" xfId="0" applyFont="1" applyAlignment="1">
      <alignment horizontal="left" vertical="center" wrapText="1"/>
    </xf>
    <xf numFmtId="0" fontId="33" fillId="6" borderId="0" xfId="0" applyFont="1" applyFill="1" applyAlignment="1">
      <alignment horizontal="left" vertical="center" wrapText="1"/>
    </xf>
    <xf numFmtId="0" fontId="6" fillId="6" borderId="0" xfId="0" applyFont="1" applyFill="1" applyAlignment="1">
      <alignment horizontal="center" vertical="center" wrapText="1"/>
    </xf>
    <xf numFmtId="0" fontId="6" fillId="6" borderId="0" xfId="0" applyFont="1" applyFill="1" applyAlignment="1">
      <alignment horizontal="center" vertical="center" wrapText="1"/>
    </xf>
    <xf numFmtId="0" fontId="34" fillId="0" borderId="0" xfId="0" applyFont="1" applyAlignment="1">
      <alignment horizontal="left" vertical="center"/>
    </xf>
    <xf numFmtId="0" fontId="6" fillId="0" borderId="19" xfId="0" applyFont="1" applyBorder="1" applyAlignment="1">
      <alignment vertical="center" wrapText="1"/>
    </xf>
    <xf numFmtId="0" fontId="6" fillId="0" borderId="20" xfId="0" applyFont="1" applyBorder="1" applyAlignment="1">
      <alignment vertical="center" wrapText="1"/>
    </xf>
    <xf numFmtId="0" fontId="6" fillId="0" borderId="7" xfId="0" applyFont="1" applyBorder="1" applyAlignment="1">
      <alignment vertical="center" wrapText="1"/>
    </xf>
    <xf numFmtId="0" fontId="6" fillId="0" borderId="15" xfId="0" applyFont="1" applyBorder="1" applyAlignment="1">
      <alignment vertical="center" wrapText="1"/>
    </xf>
    <xf numFmtId="0" fontId="35" fillId="3" borderId="6" xfId="0" applyFont="1" applyFill="1" applyBorder="1" applyAlignment="1">
      <alignment vertical="center" wrapText="1"/>
    </xf>
    <xf numFmtId="0" fontId="36" fillId="3" borderId="10" xfId="0" applyFont="1" applyFill="1" applyBorder="1" applyAlignment="1">
      <alignment horizontal="center" vertical="center" wrapText="1"/>
    </xf>
    <xf numFmtId="0" fontId="35" fillId="3" borderId="0" xfId="0" applyFont="1" applyFill="1" applyAlignment="1">
      <alignment vertical="center" wrapText="1"/>
    </xf>
    <xf numFmtId="0" fontId="37" fillId="3" borderId="8" xfId="0" applyFont="1" applyFill="1" applyBorder="1" applyAlignment="1">
      <alignment horizontal="center" vertical="center" wrapText="1"/>
    </xf>
    <xf numFmtId="0" fontId="35" fillId="3" borderId="7" xfId="0" applyFont="1" applyFill="1" applyBorder="1" applyAlignment="1">
      <alignment horizontal="center" vertical="center" wrapText="1"/>
    </xf>
    <xf numFmtId="0" fontId="38" fillId="3" borderId="7" xfId="0" applyFont="1" applyFill="1" applyBorder="1" applyAlignment="1">
      <alignment horizontal="center" vertical="center" wrapText="1"/>
    </xf>
    <xf numFmtId="0" fontId="37" fillId="3" borderId="7" xfId="0" applyFont="1" applyFill="1" applyBorder="1" applyAlignment="1">
      <alignment horizontal="center" vertical="center" wrapText="1"/>
    </xf>
    <xf numFmtId="0" fontId="36" fillId="3" borderId="19" xfId="0" applyFont="1" applyFill="1" applyBorder="1" applyAlignment="1">
      <alignment horizontal="center" vertical="center" wrapText="1"/>
    </xf>
    <xf numFmtId="0" fontId="36" fillId="3" borderId="6" xfId="0" applyFont="1" applyFill="1" applyBorder="1" applyAlignment="1">
      <alignment horizontal="center" vertical="center" wrapText="1"/>
    </xf>
    <xf numFmtId="0" fontId="37" fillId="3" borderId="21" xfId="0" applyFont="1" applyFill="1" applyBorder="1" applyAlignment="1">
      <alignment horizontal="center" vertical="center" wrapText="1"/>
    </xf>
    <xf numFmtId="0" fontId="36" fillId="3" borderId="7" xfId="0" applyFont="1" applyFill="1" applyBorder="1" applyAlignment="1">
      <alignment horizontal="center" vertical="center" wrapText="1"/>
    </xf>
    <xf numFmtId="0" fontId="37" fillId="3" borderId="10" xfId="0" applyFont="1" applyFill="1" applyBorder="1" applyAlignment="1">
      <alignment horizontal="center" vertical="center" wrapText="1"/>
    </xf>
    <xf numFmtId="0" fontId="29" fillId="0" borderId="0" xfId="0" applyFont="1" applyAlignment="1">
      <alignment vertical="center" wrapText="1"/>
    </xf>
    <xf numFmtId="0" fontId="13" fillId="5" borderId="23" xfId="0" applyFont="1" applyFill="1" applyBorder="1" applyAlignment="1">
      <alignment horizontal="center" vertical="center" wrapText="1"/>
    </xf>
    <xf numFmtId="0" fontId="6" fillId="0" borderId="8" xfId="0" applyFont="1" applyBorder="1" applyAlignment="1">
      <alignment vertical="center" wrapText="1"/>
    </xf>
    <xf numFmtId="0" fontId="6" fillId="15" borderId="19" xfId="0" applyFont="1" applyFill="1" applyBorder="1" applyAlignment="1">
      <alignment vertical="center"/>
    </xf>
    <xf numFmtId="0" fontId="29" fillId="15" borderId="0" xfId="0" applyFont="1" applyFill="1" applyAlignment="1">
      <alignment vertical="center" wrapText="1"/>
    </xf>
    <xf numFmtId="0" fontId="13" fillId="5" borderId="0" xfId="0" applyFont="1" applyFill="1" applyAlignment="1">
      <alignment horizontal="center" vertical="center" wrapText="1"/>
    </xf>
    <xf numFmtId="0" fontId="13" fillId="5" borderId="23" xfId="0" applyFont="1" applyFill="1" applyBorder="1" applyAlignment="1">
      <alignment horizontal="center" vertical="center" wrapText="1"/>
    </xf>
    <xf numFmtId="0" fontId="35" fillId="12" borderId="22" xfId="0" applyFont="1" applyFill="1" applyBorder="1" applyAlignment="1">
      <alignment horizontal="center" vertical="center" wrapText="1"/>
    </xf>
    <xf numFmtId="0" fontId="13" fillId="5" borderId="7" xfId="0" applyFont="1" applyFill="1" applyBorder="1" applyAlignment="1">
      <alignment horizontal="center" vertical="center" wrapText="1"/>
    </xf>
    <xf numFmtId="0" fontId="6" fillId="15" borderId="0" xfId="0" applyFont="1" applyFill="1" applyAlignment="1">
      <alignment vertical="center" wrapText="1"/>
    </xf>
    <xf numFmtId="0" fontId="6" fillId="15" borderId="25" xfId="0" applyFont="1" applyFill="1" applyBorder="1" applyAlignment="1">
      <alignment vertical="center" wrapText="1"/>
    </xf>
    <xf numFmtId="0" fontId="6" fillId="15" borderId="23" xfId="0" applyFont="1" applyFill="1" applyBorder="1" applyAlignment="1">
      <alignment vertical="center" wrapText="1"/>
    </xf>
    <xf numFmtId="0" fontId="6" fillId="15" borderId="8" xfId="0" applyFont="1" applyFill="1" applyBorder="1" applyAlignment="1">
      <alignment vertical="center" wrapText="1"/>
    </xf>
    <xf numFmtId="0" fontId="6" fillId="15" borderId="14" xfId="0" applyFont="1" applyFill="1" applyBorder="1" applyAlignment="1">
      <alignment vertical="center" wrapText="1"/>
    </xf>
    <xf numFmtId="0" fontId="6" fillId="19" borderId="26" xfId="0" applyFont="1" applyFill="1" applyBorder="1" applyAlignment="1">
      <alignment horizontal="center" vertical="center" wrapText="1"/>
    </xf>
    <xf numFmtId="0" fontId="6" fillId="26" borderId="26" xfId="0" applyFont="1" applyFill="1" applyBorder="1" applyAlignment="1">
      <alignment horizontal="center" vertical="center" wrapText="1"/>
    </xf>
    <xf numFmtId="0" fontId="6" fillId="8" borderId="26" xfId="0" applyFont="1" applyFill="1" applyBorder="1" applyAlignment="1">
      <alignment horizontal="center" vertical="center" wrapText="1"/>
    </xf>
    <xf numFmtId="0" fontId="42" fillId="19" borderId="31" xfId="0" applyFont="1" applyFill="1" applyBorder="1" applyAlignment="1">
      <alignment horizontal="center" vertical="center" wrapText="1"/>
    </xf>
    <xf numFmtId="0" fontId="43" fillId="0" borderId="32" xfId="0" applyFont="1" applyBorder="1" applyAlignment="1">
      <alignment horizontal="center" vertical="center" wrapText="1"/>
    </xf>
    <xf numFmtId="0" fontId="39" fillId="0" borderId="30" xfId="0" applyFont="1" applyBorder="1" applyAlignment="1">
      <alignment horizontal="center" vertical="center" wrapText="1"/>
    </xf>
    <xf numFmtId="0" fontId="6" fillId="3" borderId="31" xfId="0" applyFont="1" applyFill="1" applyBorder="1" applyAlignment="1">
      <alignment horizontal="center" vertical="center" wrapText="1"/>
    </xf>
    <xf numFmtId="0" fontId="6" fillId="3" borderId="32" xfId="0" applyFont="1" applyFill="1" applyBorder="1" applyAlignment="1">
      <alignment horizontal="center" vertical="center" wrapText="1"/>
    </xf>
    <xf numFmtId="0" fontId="6" fillId="3" borderId="30" xfId="0" applyFont="1" applyFill="1" applyBorder="1" applyAlignment="1">
      <alignment horizontal="center" vertical="center" wrapText="1"/>
    </xf>
    <xf numFmtId="0" fontId="6" fillId="15" borderId="19" xfId="0" applyFont="1" applyFill="1" applyBorder="1" applyAlignment="1">
      <alignment horizontal="center" vertical="center" wrapText="1"/>
    </xf>
    <xf numFmtId="0" fontId="6" fillId="15" borderId="33" xfId="0" applyFont="1" applyFill="1" applyBorder="1" applyAlignment="1">
      <alignment horizontal="center" vertical="center" wrapText="1"/>
    </xf>
    <xf numFmtId="0" fontId="6" fillId="15" borderId="29" xfId="0" applyFont="1" applyFill="1" applyBorder="1" applyAlignment="1">
      <alignment horizontal="center" vertical="center" wrapText="1"/>
    </xf>
    <xf numFmtId="0" fontId="6" fillId="15" borderId="30" xfId="0" applyFont="1" applyFill="1" applyBorder="1" applyAlignment="1">
      <alignment horizontal="center" vertical="center" wrapText="1"/>
    </xf>
    <xf numFmtId="0" fontId="6" fillId="15" borderId="23" xfId="0" applyFont="1" applyFill="1" applyBorder="1" applyAlignment="1">
      <alignment horizontal="center" vertical="center" wrapText="1"/>
    </xf>
    <xf numFmtId="0" fontId="6" fillId="15" borderId="25" xfId="0" applyFont="1" applyFill="1" applyBorder="1" applyAlignment="1">
      <alignment horizontal="center" vertical="center" wrapText="1"/>
    </xf>
    <xf numFmtId="0" fontId="6" fillId="3" borderId="34" xfId="0" applyFont="1" applyFill="1" applyBorder="1" applyAlignment="1">
      <alignment horizontal="center" vertical="center" wrapText="1"/>
    </xf>
    <xf numFmtId="0" fontId="6" fillId="3" borderId="35" xfId="0" applyFont="1" applyFill="1" applyBorder="1" applyAlignment="1">
      <alignment horizontal="center" vertical="center" wrapText="1"/>
    </xf>
    <xf numFmtId="0" fontId="6" fillId="3" borderId="25" xfId="0" applyFont="1" applyFill="1" applyBorder="1" applyAlignment="1">
      <alignment horizontal="center" vertical="center" wrapText="1"/>
    </xf>
    <xf numFmtId="0" fontId="44" fillId="8" borderId="31" xfId="0" applyFont="1" applyFill="1" applyBorder="1" applyAlignment="1">
      <alignment horizontal="center" vertical="center" wrapText="1"/>
    </xf>
    <xf numFmtId="0" fontId="43" fillId="0" borderId="35" xfId="0" applyFont="1" applyBorder="1" applyAlignment="1">
      <alignment horizontal="center" vertical="center" wrapText="1"/>
    </xf>
    <xf numFmtId="0" fontId="39" fillId="0" borderId="25" xfId="0" applyFont="1" applyBorder="1" applyAlignment="1">
      <alignment horizontal="center" vertical="center" wrapText="1"/>
    </xf>
    <xf numFmtId="0" fontId="45" fillId="26" borderId="31" xfId="0" applyFont="1" applyFill="1" applyBorder="1" applyAlignment="1">
      <alignment horizontal="center" vertical="center" wrapText="1"/>
    </xf>
    <xf numFmtId="0" fontId="43" fillId="0" borderId="32" xfId="0" applyFont="1" applyBorder="1" applyAlignment="1">
      <alignment horizontal="center" vertical="center" wrapText="1"/>
    </xf>
    <xf numFmtId="0" fontId="46" fillId="0" borderId="30" xfId="0" applyFont="1" applyBorder="1" applyAlignment="1">
      <alignment horizontal="center" vertical="center" wrapText="1"/>
    </xf>
    <xf numFmtId="0" fontId="6" fillId="15" borderId="6" xfId="0" applyFont="1" applyFill="1" applyBorder="1" applyAlignment="1">
      <alignment horizontal="center" vertical="center" wrapText="1"/>
    </xf>
    <xf numFmtId="0" fontId="42" fillId="19" borderId="23" xfId="0" applyFont="1" applyFill="1" applyBorder="1" applyAlignment="1">
      <alignment horizontal="center" vertical="center" wrapText="1"/>
    </xf>
    <xf numFmtId="0" fontId="39" fillId="0" borderId="0" xfId="0" applyFont="1" applyAlignment="1">
      <alignment horizontal="center" vertical="center" wrapText="1"/>
    </xf>
    <xf numFmtId="0" fontId="44" fillId="8" borderId="23" xfId="0" applyFont="1" applyFill="1" applyBorder="1" applyAlignment="1">
      <alignment horizontal="center" vertical="center" wrapText="1"/>
    </xf>
    <xf numFmtId="0" fontId="1" fillId="0" borderId="1" xfId="0" applyFont="1" applyBorder="1" applyAlignment="1">
      <alignment wrapText="1"/>
    </xf>
    <xf numFmtId="0" fontId="2" fillId="0" borderId="2" xfId="0" applyFont="1" applyBorder="1"/>
    <xf numFmtId="0" fontId="2" fillId="0" borderId="3" xfId="0" applyFont="1" applyBorder="1"/>
    <xf numFmtId="0" fontId="4" fillId="2" borderId="1" xfId="0" applyFont="1" applyFill="1" applyBorder="1" applyAlignment="1">
      <alignment horizontal="left" wrapText="1"/>
    </xf>
    <xf numFmtId="0" fontId="3" fillId="0" borderId="1" xfId="0" applyFont="1" applyBorder="1" applyAlignment="1">
      <alignment wrapText="1"/>
    </xf>
    <xf numFmtId="0" fontId="7" fillId="0" borderId="6" xfId="0" applyFont="1" applyBorder="1" applyAlignment="1">
      <alignment wrapText="1"/>
    </xf>
    <xf numFmtId="0" fontId="2" fillId="0" borderId="6" xfId="0" applyFont="1" applyBorder="1"/>
    <xf numFmtId="0" fontId="8" fillId="0" borderId="6" xfId="0" applyFont="1" applyBorder="1" applyAlignment="1">
      <alignment wrapText="1"/>
    </xf>
    <xf numFmtId="0" fontId="9" fillId="0" borderId="6" xfId="0" applyFont="1" applyBorder="1" applyAlignment="1">
      <alignment horizontal="center"/>
    </xf>
    <xf numFmtId="0" fontId="2" fillId="0" borderId="7" xfId="0" applyFont="1" applyBorder="1"/>
    <xf numFmtId="0" fontId="9" fillId="3" borderId="0" xfId="0" applyFont="1" applyFill="1" applyAlignment="1">
      <alignment horizontal="center"/>
    </xf>
    <xf numFmtId="0" fontId="2" fillId="0" borderId="8" xfId="0" applyFont="1" applyBorder="1"/>
    <xf numFmtId="0" fontId="12" fillId="7" borderId="11" xfId="0" applyFont="1" applyFill="1" applyBorder="1" applyAlignment="1">
      <alignment horizontal="center" vertical="center" textRotation="90" wrapText="1"/>
    </xf>
    <xf numFmtId="0" fontId="2" fillId="0" borderId="13" xfId="0" applyFont="1" applyBorder="1"/>
    <xf numFmtId="0" fontId="2" fillId="0" borderId="10" xfId="0" applyFont="1" applyBorder="1"/>
    <xf numFmtId="0" fontId="6" fillId="7" borderId="12" xfId="0" applyFont="1" applyFill="1" applyBorder="1" applyAlignment="1">
      <alignment horizontal="center" vertical="center" wrapText="1"/>
    </xf>
    <xf numFmtId="0" fontId="2" fillId="0" borderId="14" xfId="0" applyFont="1" applyBorder="1"/>
    <xf numFmtId="0" fontId="2" fillId="0" borderId="15" xfId="0" applyFont="1" applyBorder="1"/>
    <xf numFmtId="0" fontId="12" fillId="8" borderId="11" xfId="0" applyFont="1" applyFill="1" applyBorder="1" applyAlignment="1">
      <alignment horizontal="center" vertical="center" textRotation="90" wrapText="1"/>
    </xf>
    <xf numFmtId="0" fontId="6" fillId="14" borderId="11" xfId="0" applyFont="1" applyFill="1" applyBorder="1" applyAlignment="1">
      <alignment horizontal="center" vertical="center" wrapText="1"/>
    </xf>
    <xf numFmtId="0" fontId="7" fillId="0" borderId="0" xfId="0" applyFont="1" applyAlignment="1">
      <alignment horizontal="left" vertical="center" wrapText="1"/>
    </xf>
    <xf numFmtId="0" fontId="0" fillId="0" borderId="0" xfId="0" applyFont="1" applyAlignment="1"/>
    <xf numFmtId="0" fontId="17" fillId="3" borderId="0" xfId="0" applyFont="1" applyFill="1" applyAlignment="1">
      <alignment horizontal="center" vertical="center" textRotation="90" wrapText="1"/>
    </xf>
    <xf numFmtId="0" fontId="6" fillId="8" borderId="11" xfId="0" applyFont="1" applyFill="1" applyBorder="1" applyAlignment="1">
      <alignment horizontal="center" vertical="center" wrapText="1"/>
    </xf>
    <xf numFmtId="0" fontId="6" fillId="9" borderId="11" xfId="0" applyFont="1" applyFill="1" applyBorder="1" applyAlignment="1">
      <alignment horizontal="center" vertical="center" wrapText="1"/>
    </xf>
    <xf numFmtId="0" fontId="12" fillId="10" borderId="11" xfId="0" applyFont="1" applyFill="1" applyBorder="1" applyAlignment="1">
      <alignment horizontal="center" vertical="center" textRotation="90" wrapText="1"/>
    </xf>
    <xf numFmtId="0" fontId="6" fillId="10" borderId="11" xfId="0" applyFont="1" applyFill="1" applyBorder="1" applyAlignment="1">
      <alignment horizontal="center" vertical="center" wrapText="1"/>
    </xf>
    <xf numFmtId="0" fontId="12" fillId="12" borderId="11" xfId="0" applyFont="1" applyFill="1" applyBorder="1" applyAlignment="1">
      <alignment horizontal="center" vertical="center" textRotation="90" wrapText="1"/>
    </xf>
    <xf numFmtId="0" fontId="6" fillId="13" borderId="11" xfId="0" applyFont="1" applyFill="1" applyBorder="1" applyAlignment="1">
      <alignment horizontal="center" vertical="center" wrapText="1"/>
    </xf>
    <xf numFmtId="0" fontId="6" fillId="12" borderId="11" xfId="0" applyFont="1" applyFill="1" applyBorder="1" applyAlignment="1">
      <alignment horizontal="center" vertical="center" wrapText="1"/>
    </xf>
    <xf numFmtId="0" fontId="12" fillId="0" borderId="6" xfId="0" applyFont="1" applyBorder="1" applyAlignment="1"/>
    <xf numFmtId="0" fontId="6" fillId="7" borderId="11" xfId="0" applyFont="1" applyFill="1" applyBorder="1" applyAlignment="1">
      <alignment horizontal="center" vertical="center" wrapText="1"/>
    </xf>
    <xf numFmtId="0" fontId="6" fillId="5" borderId="11" xfId="0" applyFont="1" applyFill="1" applyBorder="1" applyAlignment="1">
      <alignment horizontal="center" vertical="center" wrapText="1"/>
    </xf>
    <xf numFmtId="0" fontId="19" fillId="0" borderId="6" xfId="0" applyFont="1" applyBorder="1" applyAlignment="1">
      <alignment wrapText="1"/>
    </xf>
    <xf numFmtId="0" fontId="9" fillId="0" borderId="6" xfId="0" applyFont="1" applyBorder="1" applyAlignment="1">
      <alignment horizontal="center" vertical="center"/>
    </xf>
    <xf numFmtId="0" fontId="9" fillId="3" borderId="6" xfId="0" applyFont="1" applyFill="1" applyBorder="1" applyAlignment="1">
      <alignment horizontal="center" vertical="center"/>
    </xf>
    <xf numFmtId="0" fontId="12" fillId="4" borderId="8" xfId="0" applyFont="1" applyFill="1" applyBorder="1" applyAlignment="1">
      <alignment horizontal="center" vertical="center" textRotation="90" wrapText="1"/>
    </xf>
    <xf numFmtId="0" fontId="6" fillId="16" borderId="11" xfId="0" applyFont="1" applyFill="1" applyBorder="1" applyAlignment="1">
      <alignment horizontal="center" vertical="center" wrapText="1"/>
    </xf>
    <xf numFmtId="0" fontId="12" fillId="7" borderId="8" xfId="0" applyFont="1" applyFill="1" applyBorder="1" applyAlignment="1">
      <alignment horizontal="center" vertical="center" textRotation="90" wrapText="1"/>
    </xf>
    <xf numFmtId="0" fontId="6" fillId="18" borderId="11" xfId="0" applyFont="1" applyFill="1" applyBorder="1" applyAlignment="1">
      <alignment horizontal="center" vertical="center" wrapText="1"/>
    </xf>
    <xf numFmtId="0" fontId="6" fillId="17" borderId="11" xfId="0" applyFont="1" applyFill="1" applyBorder="1" applyAlignment="1">
      <alignment horizontal="center" vertical="center" wrapText="1"/>
    </xf>
    <xf numFmtId="0" fontId="12" fillId="8" borderId="8" xfId="0" applyFont="1" applyFill="1" applyBorder="1" applyAlignment="1">
      <alignment horizontal="center" vertical="center" textRotation="90" wrapText="1"/>
    </xf>
    <xf numFmtId="0" fontId="12" fillId="10" borderId="8" xfId="0" applyFont="1" applyFill="1" applyBorder="1" applyAlignment="1">
      <alignment horizontal="center" vertical="center" textRotation="90" wrapText="1"/>
    </xf>
    <xf numFmtId="0" fontId="12" fillId="4" borderId="11" xfId="0" applyFont="1" applyFill="1" applyBorder="1" applyAlignment="1">
      <alignment horizontal="center" vertical="center" textRotation="90" wrapText="1"/>
    </xf>
    <xf numFmtId="0" fontId="6" fillId="11" borderId="11" xfId="0" applyFont="1" applyFill="1" applyBorder="1" applyAlignment="1">
      <alignment horizontal="center" vertical="center" wrapText="1"/>
    </xf>
    <xf numFmtId="0" fontId="6" fillId="19" borderId="11" xfId="0" applyFont="1" applyFill="1" applyBorder="1" applyAlignment="1">
      <alignment horizontal="center" vertical="center" wrapText="1"/>
    </xf>
    <xf numFmtId="0" fontId="6" fillId="20" borderId="11"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21" borderId="11" xfId="0" applyFont="1" applyFill="1" applyBorder="1" applyAlignment="1">
      <alignment horizontal="center" vertical="center" wrapText="1"/>
    </xf>
    <xf numFmtId="0" fontId="6" fillId="22" borderId="11" xfId="0" applyFont="1" applyFill="1" applyBorder="1" applyAlignment="1">
      <alignment horizontal="center" vertical="center" wrapText="1"/>
    </xf>
    <xf numFmtId="0" fontId="12" fillId="22" borderId="11" xfId="0" applyFont="1" applyFill="1" applyBorder="1" applyAlignment="1">
      <alignment horizontal="center" vertical="center" textRotation="90" wrapText="1"/>
    </xf>
    <xf numFmtId="0" fontId="9" fillId="0" borderId="6" xfId="0" applyFont="1" applyBorder="1" applyAlignment="1">
      <alignment horizontal="center" vertical="center" wrapText="1"/>
    </xf>
    <xf numFmtId="0" fontId="9" fillId="3" borderId="6" xfId="0" applyFont="1" applyFill="1" applyBorder="1" applyAlignment="1">
      <alignment horizontal="center" vertical="center" wrapText="1"/>
    </xf>
    <xf numFmtId="0" fontId="6" fillId="23" borderId="11" xfId="0" applyFont="1" applyFill="1" applyBorder="1" applyAlignment="1">
      <alignment horizontal="center" vertical="center" wrapText="1"/>
    </xf>
    <xf numFmtId="0" fontId="6" fillId="24" borderId="11" xfId="0" applyFont="1" applyFill="1" applyBorder="1" applyAlignment="1">
      <alignment horizontal="center" vertical="center" wrapText="1"/>
    </xf>
    <xf numFmtId="0" fontId="35" fillId="7" borderId="22" xfId="0" applyFont="1" applyFill="1" applyBorder="1" applyAlignment="1">
      <alignment horizontal="center" vertical="center" wrapText="1"/>
    </xf>
    <xf numFmtId="0" fontId="2" fillId="0" borderId="22" xfId="0" applyFont="1" applyBorder="1"/>
    <xf numFmtId="0" fontId="35" fillId="8" borderId="22" xfId="0" applyFont="1" applyFill="1" applyBorder="1" applyAlignment="1">
      <alignment horizontal="center" vertical="center" wrapText="1"/>
    </xf>
    <xf numFmtId="0" fontId="2" fillId="0" borderId="24" xfId="0" applyFont="1" applyBorder="1"/>
    <xf numFmtId="0" fontId="35" fillId="10" borderId="22" xfId="0" applyFont="1" applyFill="1" applyBorder="1" applyAlignment="1">
      <alignment horizontal="center" vertical="center" wrapText="1"/>
    </xf>
    <xf numFmtId="0" fontId="35" fillId="22" borderId="22" xfId="0" applyFont="1" applyFill="1" applyBorder="1" applyAlignment="1">
      <alignment horizontal="center" vertical="center" wrapText="1"/>
    </xf>
    <xf numFmtId="0" fontId="35" fillId="12" borderId="22" xfId="0" applyFont="1" applyFill="1" applyBorder="1" applyAlignment="1">
      <alignment horizontal="center" vertical="center" wrapText="1"/>
    </xf>
    <xf numFmtId="0" fontId="35" fillId="25" borderId="22" xfId="0" applyFont="1" applyFill="1" applyBorder="1" applyAlignment="1">
      <alignment horizontal="center" vertical="center" wrapText="1"/>
    </xf>
    <xf numFmtId="0" fontId="36" fillId="3" borderId="20" xfId="0" applyFont="1" applyFill="1" applyBorder="1" applyAlignment="1">
      <alignment horizontal="center" vertical="center" wrapText="1"/>
    </xf>
    <xf numFmtId="0" fontId="36" fillId="3" borderId="6" xfId="0" applyFont="1" applyFill="1" applyBorder="1" applyAlignment="1">
      <alignment horizontal="center" vertical="center" wrapText="1"/>
    </xf>
    <xf numFmtId="0" fontId="36" fillId="3" borderId="15" xfId="0" applyFont="1" applyFill="1" applyBorder="1" applyAlignment="1">
      <alignment horizontal="center" vertical="center" wrapText="1"/>
    </xf>
    <xf numFmtId="0" fontId="35" fillId="4" borderId="22" xfId="0" applyFont="1" applyFill="1" applyBorder="1" applyAlignment="1">
      <alignment horizontal="center" vertical="center" wrapText="1"/>
    </xf>
    <xf numFmtId="0" fontId="40" fillId="0" borderId="29" xfId="0" applyFont="1" applyBorder="1" applyAlignment="1">
      <alignment horizontal="center" vertical="center" wrapText="1"/>
    </xf>
    <xf numFmtId="0" fontId="2" fillId="0" borderId="29" xfId="0" applyFont="1" applyBorder="1"/>
    <xf numFmtId="0" fontId="2" fillId="0" borderId="30" xfId="0" applyFont="1" applyBorder="1"/>
    <xf numFmtId="0" fontId="41" fillId="0" borderId="29" xfId="0" applyFont="1" applyBorder="1" applyAlignment="1">
      <alignment horizontal="center" vertical="center" wrapText="1"/>
    </xf>
    <xf numFmtId="0" fontId="6" fillId="3" borderId="35" xfId="0" applyFont="1" applyFill="1" applyBorder="1" applyAlignment="1">
      <alignment horizontal="center" vertical="center" wrapText="1"/>
    </xf>
    <xf numFmtId="0" fontId="2" fillId="0" borderId="35" xfId="0" applyFont="1" applyBorder="1"/>
    <xf numFmtId="0" fontId="2" fillId="0" borderId="32" xfId="0" applyFont="1" applyBorder="1"/>
    <xf numFmtId="0" fontId="35" fillId="27" borderId="22" xfId="0" applyFont="1" applyFill="1" applyBorder="1" applyAlignment="1">
      <alignment horizontal="center" vertical="center" wrapText="1"/>
    </xf>
    <xf numFmtId="0" fontId="39" fillId="0" borderId="27" xfId="0" applyFont="1" applyBorder="1" applyAlignment="1">
      <alignment horizontal="center" vertical="center" wrapText="1"/>
    </xf>
    <xf numFmtId="0" fontId="2" fillId="0" borderId="28" xfId="0" applyFont="1" applyBorder="1"/>
  </cellXfs>
  <cellStyles count="1">
    <cellStyle name="Normal" xfId="0" builtinId="0"/>
  </cellStyles>
  <dxfs count="70">
    <dxf>
      <fill>
        <patternFill patternType="solid">
          <fgColor rgb="FF000000"/>
          <bgColor rgb="FF000000"/>
        </patternFill>
      </fill>
    </dxf>
    <dxf>
      <fill>
        <patternFill patternType="solid">
          <fgColor rgb="FFFFFFFF"/>
          <bgColor rgb="FFFFFFFF"/>
        </patternFill>
      </fill>
    </dxf>
    <dxf>
      <fill>
        <patternFill patternType="solid">
          <fgColor rgb="FFFFFFFF"/>
          <bgColor rgb="FFFFFFFF"/>
        </patternFill>
      </fill>
    </dxf>
    <dxf>
      <font>
        <color rgb="FFFF8869"/>
      </font>
      <fill>
        <patternFill patternType="solid">
          <fgColor rgb="FFFF8869"/>
          <bgColor rgb="FFFF8869"/>
        </patternFill>
      </fill>
    </dxf>
    <dxf>
      <font>
        <color rgb="FF87FF5C"/>
      </font>
      <fill>
        <patternFill patternType="solid">
          <fgColor rgb="FF87FF5C"/>
          <bgColor rgb="FF87FF5C"/>
        </patternFill>
      </fill>
    </dxf>
    <dxf>
      <fill>
        <patternFill patternType="solid">
          <fgColor rgb="FF87FF5C"/>
          <bgColor rgb="FF87FF5C"/>
        </patternFill>
      </fill>
    </dxf>
    <dxf>
      <fill>
        <patternFill patternType="solid">
          <fgColor rgb="FFDAFF5C"/>
          <bgColor rgb="FFDAFF5C"/>
        </patternFill>
      </fill>
    </dxf>
    <dxf>
      <fill>
        <patternFill patternType="solid">
          <fgColor rgb="FFFFE866"/>
          <bgColor rgb="FFFFE866"/>
        </patternFill>
      </fill>
    </dxf>
    <dxf>
      <fill>
        <patternFill patternType="solid">
          <fgColor rgb="FFFFB867"/>
          <bgColor rgb="FFFFB867"/>
        </patternFill>
      </fill>
    </dxf>
    <dxf>
      <fill>
        <patternFill patternType="solid">
          <fgColor rgb="FFFF8869"/>
          <bgColor rgb="FFFF8869"/>
        </patternFill>
      </fill>
    </dxf>
    <dxf>
      <fill>
        <patternFill patternType="solid">
          <fgColor rgb="FF87FF5C"/>
          <bgColor rgb="FF87FF5C"/>
        </patternFill>
      </fill>
    </dxf>
    <dxf>
      <fill>
        <patternFill patternType="solid">
          <fgColor rgb="FFDAFF5C"/>
          <bgColor rgb="FFDAFF5C"/>
        </patternFill>
      </fill>
    </dxf>
    <dxf>
      <fill>
        <patternFill patternType="solid">
          <fgColor rgb="FFFFE866"/>
          <bgColor rgb="FFFFE866"/>
        </patternFill>
      </fill>
    </dxf>
    <dxf>
      <fill>
        <patternFill patternType="solid">
          <fgColor rgb="FFFFB867"/>
          <bgColor rgb="FFFFB867"/>
        </patternFill>
      </fill>
    </dxf>
    <dxf>
      <fill>
        <patternFill patternType="solid">
          <fgColor rgb="FFFF8869"/>
          <bgColor rgb="FFFF8869"/>
        </patternFill>
      </fill>
    </dxf>
    <dxf>
      <font>
        <color rgb="FFFF8869"/>
      </font>
      <fill>
        <patternFill patternType="solid">
          <fgColor rgb="FFFF8869"/>
          <bgColor rgb="FFFF8869"/>
        </patternFill>
      </fill>
    </dxf>
    <dxf>
      <font>
        <color rgb="FF87FF5C"/>
      </font>
      <fill>
        <patternFill patternType="solid">
          <fgColor rgb="FF87FF5C"/>
          <bgColor rgb="FF87FF5C"/>
        </patternFill>
      </fill>
    </dxf>
    <dxf>
      <fill>
        <patternFill patternType="solid">
          <fgColor rgb="FFB7E1CD"/>
          <bgColor rgb="FFB7E1CD"/>
        </patternFill>
      </fill>
    </dxf>
    <dxf>
      <fill>
        <patternFill patternType="solid">
          <fgColor rgb="FFCC0000"/>
          <bgColor rgb="FFCC0000"/>
        </patternFill>
      </fill>
    </dxf>
    <dxf>
      <fill>
        <patternFill patternType="solid">
          <fgColor rgb="FF6AA84F"/>
          <bgColor rgb="FF6AA84F"/>
        </patternFill>
      </fill>
    </dxf>
    <dxf>
      <fill>
        <patternFill patternType="solid">
          <fgColor rgb="FF87FF5C"/>
          <bgColor rgb="FF87FF5C"/>
        </patternFill>
      </fill>
    </dxf>
    <dxf>
      <fill>
        <patternFill patternType="solid">
          <fgColor rgb="FFDAFF5C"/>
          <bgColor rgb="FFDAFF5C"/>
        </patternFill>
      </fill>
    </dxf>
    <dxf>
      <fill>
        <patternFill patternType="solid">
          <fgColor rgb="FFFFE866"/>
          <bgColor rgb="FFFFE866"/>
        </patternFill>
      </fill>
    </dxf>
    <dxf>
      <fill>
        <patternFill patternType="solid">
          <fgColor rgb="FFFFB867"/>
          <bgColor rgb="FFFFB867"/>
        </patternFill>
      </fill>
    </dxf>
    <dxf>
      <fill>
        <patternFill patternType="solid">
          <fgColor rgb="FFFF8869"/>
          <bgColor rgb="FFFF8869"/>
        </patternFill>
      </fill>
    </dxf>
    <dxf>
      <font>
        <color rgb="FFFF8869"/>
      </font>
      <fill>
        <patternFill patternType="solid">
          <fgColor rgb="FFFF8869"/>
          <bgColor rgb="FFFF8869"/>
        </patternFill>
      </fill>
    </dxf>
    <dxf>
      <font>
        <color rgb="FF87FF5C"/>
      </font>
      <fill>
        <patternFill patternType="solid">
          <fgColor rgb="FF87FF5C"/>
          <bgColor rgb="FF87FF5C"/>
        </patternFill>
      </fill>
    </dxf>
    <dxf>
      <fill>
        <patternFill patternType="solid">
          <fgColor rgb="FFB7E1CD"/>
          <bgColor rgb="FFB7E1CD"/>
        </patternFill>
      </fill>
    </dxf>
    <dxf>
      <fill>
        <patternFill patternType="solid">
          <fgColor rgb="FFCC0000"/>
          <bgColor rgb="FFCC0000"/>
        </patternFill>
      </fill>
    </dxf>
    <dxf>
      <fill>
        <patternFill patternType="solid">
          <fgColor rgb="FF6AA84F"/>
          <bgColor rgb="FF6AA84F"/>
        </patternFill>
      </fill>
    </dxf>
    <dxf>
      <fill>
        <patternFill patternType="solid">
          <fgColor rgb="FF87FF5C"/>
          <bgColor rgb="FF87FF5C"/>
        </patternFill>
      </fill>
    </dxf>
    <dxf>
      <fill>
        <patternFill patternType="solid">
          <fgColor rgb="FFDAFF5C"/>
          <bgColor rgb="FFDAFF5C"/>
        </patternFill>
      </fill>
    </dxf>
    <dxf>
      <fill>
        <patternFill patternType="solid">
          <fgColor rgb="FFFFE866"/>
          <bgColor rgb="FFFFE866"/>
        </patternFill>
      </fill>
    </dxf>
    <dxf>
      <fill>
        <patternFill patternType="solid">
          <fgColor rgb="FFFFB867"/>
          <bgColor rgb="FFFFB867"/>
        </patternFill>
      </fill>
    </dxf>
    <dxf>
      <fill>
        <patternFill patternType="solid">
          <fgColor rgb="FFFF8869"/>
          <bgColor rgb="FFFF8869"/>
        </patternFill>
      </fill>
    </dxf>
    <dxf>
      <font>
        <color rgb="FFFF8869"/>
      </font>
      <fill>
        <patternFill patternType="solid">
          <fgColor rgb="FFFF8869"/>
          <bgColor rgb="FFFF8869"/>
        </patternFill>
      </fill>
    </dxf>
    <dxf>
      <font>
        <color rgb="FF87FF5C"/>
      </font>
      <fill>
        <patternFill patternType="solid">
          <fgColor rgb="FF87FF5C"/>
          <bgColor rgb="FF87FF5C"/>
        </patternFill>
      </fill>
    </dxf>
    <dxf>
      <fill>
        <patternFill patternType="solid">
          <fgColor rgb="FFB7E1CD"/>
          <bgColor rgb="FFB7E1CD"/>
        </patternFill>
      </fill>
    </dxf>
    <dxf>
      <fill>
        <patternFill patternType="solid">
          <fgColor rgb="FFCC0000"/>
          <bgColor rgb="FFCC0000"/>
        </patternFill>
      </fill>
    </dxf>
    <dxf>
      <fill>
        <patternFill patternType="solid">
          <fgColor rgb="FF6AA84F"/>
          <bgColor rgb="FF6AA84F"/>
        </patternFill>
      </fill>
    </dxf>
    <dxf>
      <fill>
        <patternFill patternType="solid">
          <fgColor rgb="FF87FF5C"/>
          <bgColor rgb="FF87FF5C"/>
        </patternFill>
      </fill>
    </dxf>
    <dxf>
      <fill>
        <patternFill patternType="solid">
          <fgColor rgb="FFDAFF5C"/>
          <bgColor rgb="FFDAFF5C"/>
        </patternFill>
      </fill>
    </dxf>
    <dxf>
      <fill>
        <patternFill patternType="solid">
          <fgColor rgb="FFFFE866"/>
          <bgColor rgb="FFFFE866"/>
        </patternFill>
      </fill>
    </dxf>
    <dxf>
      <fill>
        <patternFill patternType="solid">
          <fgColor rgb="FFFFB867"/>
          <bgColor rgb="FFFFB867"/>
        </patternFill>
      </fill>
    </dxf>
    <dxf>
      <fill>
        <patternFill patternType="solid">
          <fgColor rgb="FFFF8869"/>
          <bgColor rgb="FFFF8869"/>
        </patternFill>
      </fill>
    </dxf>
    <dxf>
      <font>
        <color rgb="FFFF8869"/>
      </font>
      <fill>
        <patternFill patternType="solid">
          <fgColor rgb="FFFF8869"/>
          <bgColor rgb="FFFF8869"/>
        </patternFill>
      </fill>
    </dxf>
    <dxf>
      <font>
        <color rgb="FF87FF5C"/>
      </font>
      <fill>
        <patternFill patternType="solid">
          <fgColor rgb="FF87FF5C"/>
          <bgColor rgb="FF87FF5C"/>
        </patternFill>
      </fill>
    </dxf>
    <dxf>
      <fill>
        <patternFill patternType="solid">
          <fgColor rgb="FFB7E1CD"/>
          <bgColor rgb="FFB7E1CD"/>
        </patternFill>
      </fill>
    </dxf>
    <dxf>
      <fill>
        <patternFill patternType="solid">
          <fgColor rgb="FFCC0000"/>
          <bgColor rgb="FFCC0000"/>
        </patternFill>
      </fill>
    </dxf>
    <dxf>
      <fill>
        <patternFill patternType="solid">
          <fgColor rgb="FF6AA84F"/>
          <bgColor rgb="FF6AA84F"/>
        </patternFill>
      </fill>
    </dxf>
    <dxf>
      <fill>
        <patternFill patternType="solid">
          <fgColor rgb="FFCC0000"/>
          <bgColor rgb="FFCC0000"/>
        </patternFill>
      </fill>
    </dxf>
    <dxf>
      <fill>
        <patternFill patternType="solid">
          <fgColor rgb="FF6AA84F"/>
          <bgColor rgb="FF6AA84F"/>
        </patternFill>
      </fill>
    </dxf>
    <dxf>
      <fill>
        <patternFill patternType="solid">
          <fgColor rgb="FF87FF5C"/>
          <bgColor rgb="FF87FF5C"/>
        </patternFill>
      </fill>
    </dxf>
    <dxf>
      <fill>
        <patternFill patternType="solid">
          <fgColor rgb="FFDAFF5C"/>
          <bgColor rgb="FFDAFF5C"/>
        </patternFill>
      </fill>
    </dxf>
    <dxf>
      <fill>
        <patternFill patternType="solid">
          <fgColor rgb="FFFFE866"/>
          <bgColor rgb="FFFFE866"/>
        </patternFill>
      </fill>
    </dxf>
    <dxf>
      <fill>
        <patternFill patternType="solid">
          <fgColor rgb="FFFFB867"/>
          <bgColor rgb="FFFFB867"/>
        </patternFill>
      </fill>
    </dxf>
    <dxf>
      <fill>
        <patternFill patternType="solid">
          <fgColor rgb="FFFF8869"/>
          <bgColor rgb="FFFF8869"/>
        </patternFill>
      </fill>
    </dxf>
    <dxf>
      <font>
        <color rgb="FFFF8869"/>
      </font>
      <fill>
        <patternFill patternType="solid">
          <fgColor rgb="FFFF8869"/>
          <bgColor rgb="FFFF8869"/>
        </patternFill>
      </fill>
    </dxf>
    <dxf>
      <font>
        <color rgb="FF87FF5C"/>
      </font>
      <fill>
        <patternFill patternType="solid">
          <fgColor rgb="FF87FF5C"/>
          <bgColor rgb="FF87FF5C"/>
        </patternFill>
      </fill>
    </dxf>
    <dxf>
      <fill>
        <patternFill patternType="solid">
          <fgColor rgb="FFB7E1CD"/>
          <bgColor rgb="FFB7E1CD"/>
        </patternFill>
      </fill>
    </dxf>
    <dxf>
      <font>
        <color rgb="FFFF8869"/>
      </font>
      <fill>
        <patternFill patternType="solid">
          <fgColor rgb="FFFF8869"/>
          <bgColor rgb="FFFF8869"/>
        </patternFill>
      </fill>
    </dxf>
    <dxf>
      <font>
        <color rgb="FF87FF5C"/>
      </font>
      <fill>
        <patternFill patternType="solid">
          <fgColor rgb="FF87FF5C"/>
          <bgColor rgb="FF87FF5C"/>
        </patternFill>
      </fill>
    </dxf>
    <dxf>
      <fill>
        <patternFill patternType="solid">
          <fgColor rgb="FFB7E1CD"/>
          <bgColor rgb="FFB7E1CD"/>
        </patternFill>
      </fill>
    </dxf>
    <dxf>
      <fill>
        <patternFill patternType="solid">
          <fgColor rgb="FF87FF5C"/>
          <bgColor rgb="FF87FF5C"/>
        </patternFill>
      </fill>
    </dxf>
    <dxf>
      <fill>
        <patternFill patternType="solid">
          <fgColor rgb="FFDAFF5C"/>
          <bgColor rgb="FFDAFF5C"/>
        </patternFill>
      </fill>
    </dxf>
    <dxf>
      <fill>
        <patternFill patternType="solid">
          <fgColor rgb="FFFFE866"/>
          <bgColor rgb="FFFFE866"/>
        </patternFill>
      </fill>
    </dxf>
    <dxf>
      <fill>
        <patternFill patternType="solid">
          <fgColor rgb="FFFFB867"/>
          <bgColor rgb="FFFFB867"/>
        </patternFill>
      </fill>
    </dxf>
    <dxf>
      <fill>
        <patternFill patternType="solid">
          <fgColor rgb="FFFF8869"/>
          <bgColor rgb="FFFF8869"/>
        </patternFill>
      </fill>
    </dxf>
    <dxf>
      <fill>
        <patternFill patternType="solid">
          <fgColor rgb="FFCC0000"/>
          <bgColor rgb="FFCC0000"/>
        </patternFill>
      </fill>
    </dxf>
    <dxf>
      <fill>
        <patternFill patternType="solid">
          <fgColor rgb="FF6AA84F"/>
          <bgColor rgb="FF6AA84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hyperlink" Target="http://4.nf/" TargetMode="External"/><Relationship Id="rId2" Type="http://schemas.openxmlformats.org/officeDocument/2006/relationships/hyperlink" Target="http://4.md/" TargetMode="External"/><Relationship Id="rId1" Type="http://schemas.openxmlformats.org/officeDocument/2006/relationships/hyperlink" Target="http://4.md/"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8869"/>
    <outlinePr summaryBelow="0" summaryRight="0"/>
  </sheetPr>
  <dimension ref="A1:I12"/>
  <sheetViews>
    <sheetView tabSelected="1" workbookViewId="0">
      <selection sqref="A1:I1"/>
    </sheetView>
  </sheetViews>
  <sheetFormatPr defaultColWidth="12.6328125" defaultRowHeight="15.75" customHeight="1"/>
  <sheetData>
    <row r="1" spans="1:9" ht="15.75" customHeight="1">
      <c r="A1" s="197" t="s">
        <v>0</v>
      </c>
      <c r="B1" s="198"/>
      <c r="C1" s="198"/>
      <c r="D1" s="198"/>
      <c r="E1" s="198"/>
      <c r="F1" s="198"/>
      <c r="G1" s="198"/>
      <c r="H1" s="198"/>
      <c r="I1" s="199"/>
    </row>
    <row r="2" spans="1:9">
      <c r="A2" s="1"/>
      <c r="B2" s="1"/>
      <c r="C2" s="1"/>
      <c r="D2" s="1"/>
      <c r="E2" s="1"/>
      <c r="F2" s="1"/>
      <c r="G2" s="1"/>
      <c r="H2" s="1"/>
      <c r="I2" s="1"/>
    </row>
    <row r="3" spans="1:9">
      <c r="A3" s="200" t="s">
        <v>1</v>
      </c>
      <c r="B3" s="198"/>
      <c r="C3" s="198"/>
      <c r="D3" s="198"/>
      <c r="E3" s="198"/>
      <c r="F3" s="198"/>
      <c r="G3" s="198"/>
      <c r="H3" s="198"/>
      <c r="I3" s="199"/>
    </row>
    <row r="4" spans="1:9">
      <c r="A4" s="1"/>
      <c r="B4" s="1"/>
      <c r="C4" s="1"/>
      <c r="D4" s="1"/>
      <c r="E4" s="1"/>
      <c r="F4" s="1"/>
      <c r="G4" s="1"/>
      <c r="H4" s="1"/>
      <c r="I4" s="1"/>
    </row>
    <row r="5" spans="1:9">
      <c r="A5" s="2" t="s">
        <v>2</v>
      </c>
      <c r="B5" s="3"/>
      <c r="C5" s="1"/>
      <c r="D5" s="1"/>
      <c r="E5" s="1"/>
      <c r="F5" s="1"/>
      <c r="G5" s="1"/>
      <c r="H5" s="1"/>
      <c r="I5" s="1"/>
    </row>
    <row r="6" spans="1:9">
      <c r="A6" s="1"/>
      <c r="B6" s="1"/>
      <c r="C6" s="1"/>
      <c r="D6" s="1"/>
      <c r="E6" s="1"/>
      <c r="F6" s="1"/>
      <c r="G6" s="1"/>
      <c r="H6" s="1"/>
      <c r="I6" s="1"/>
    </row>
    <row r="7" spans="1:9">
      <c r="A7" s="201" t="s">
        <v>3</v>
      </c>
      <c r="B7" s="198"/>
      <c r="C7" s="198"/>
      <c r="D7" s="198"/>
      <c r="E7" s="198"/>
      <c r="F7" s="198"/>
      <c r="G7" s="198"/>
      <c r="H7" s="198"/>
      <c r="I7" s="199"/>
    </row>
    <row r="8" spans="1:9">
      <c r="A8" s="1"/>
      <c r="B8" s="1"/>
      <c r="C8" s="1"/>
      <c r="D8" s="1"/>
      <c r="E8" s="1"/>
      <c r="F8" s="1"/>
      <c r="G8" s="1"/>
      <c r="H8" s="1"/>
      <c r="I8" s="4"/>
    </row>
    <row r="9" spans="1:9">
      <c r="A9" s="201" t="s">
        <v>4</v>
      </c>
      <c r="B9" s="198"/>
      <c r="C9" s="198"/>
      <c r="D9" s="198"/>
      <c r="E9" s="198"/>
      <c r="F9" s="198"/>
      <c r="G9" s="198"/>
      <c r="H9" s="198"/>
      <c r="I9" s="199"/>
    </row>
    <row r="10" spans="1:9">
      <c r="A10" s="1"/>
      <c r="B10" s="1"/>
      <c r="C10" s="1"/>
      <c r="D10" s="1"/>
      <c r="E10" s="1"/>
      <c r="F10" s="1"/>
      <c r="G10" s="1"/>
      <c r="H10" s="1"/>
      <c r="I10" s="1"/>
    </row>
    <row r="11" spans="1:9">
      <c r="A11" s="201" t="s">
        <v>5</v>
      </c>
      <c r="B11" s="198"/>
      <c r="C11" s="198"/>
      <c r="D11" s="198"/>
      <c r="E11" s="198"/>
      <c r="F11" s="198"/>
      <c r="G11" s="198"/>
      <c r="H11" s="198"/>
      <c r="I11" s="199"/>
    </row>
    <row r="12" spans="1:9">
      <c r="A12" s="1"/>
      <c r="B12" s="1"/>
      <c r="C12" s="1"/>
      <c r="D12" s="1"/>
      <c r="E12" s="1"/>
      <c r="F12" s="1"/>
      <c r="G12" s="1"/>
      <c r="H12" s="1"/>
      <c r="I12" s="1"/>
    </row>
  </sheetData>
  <mergeCells count="5">
    <mergeCell ref="A1:I1"/>
    <mergeCell ref="A3:I3"/>
    <mergeCell ref="A7:I7"/>
    <mergeCell ref="A9:I9"/>
    <mergeCell ref="A11:I11"/>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A1"/>
  <sheetViews>
    <sheetView workbookViewId="0"/>
  </sheetViews>
  <sheetFormatPr defaultColWidth="12.6328125" defaultRowHeight="15.75" customHeight="1"/>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4CCCC"/>
    <outlinePr summaryBelow="0" summaryRight="0"/>
    <pageSetUpPr fitToPage="1"/>
  </sheetPr>
  <dimension ref="A1:U60"/>
  <sheetViews>
    <sheetView workbookViewId="0">
      <pane ySplit="4" topLeftCell="A5" activePane="bottomLeft" state="frozen"/>
      <selection pane="bottomLeft" activeCell="B6" sqref="B6"/>
    </sheetView>
  </sheetViews>
  <sheetFormatPr defaultColWidth="12.6328125" defaultRowHeight="15.75" customHeight="1" outlineLevelRow="1" outlineLevelCol="1"/>
  <cols>
    <col min="1" max="1" width="5" customWidth="1"/>
    <col min="2" max="2" width="13.90625" customWidth="1"/>
    <col min="3" max="3" width="4.453125" customWidth="1"/>
    <col min="4" max="4" width="8.7265625" customWidth="1"/>
    <col min="5" max="5" width="50.08984375" customWidth="1"/>
    <col min="6" max="9" width="2.6328125" customWidth="1"/>
    <col min="10" max="10" width="0.36328125" customWidth="1"/>
    <col min="11" max="11" width="39.26953125" customWidth="1"/>
    <col min="12" max="12" width="6.36328125" customWidth="1" collapsed="1"/>
    <col min="13" max="21" width="12.6328125" hidden="1" outlineLevel="1"/>
  </cols>
  <sheetData>
    <row r="1" spans="1:21" ht="4.5" customHeight="1">
      <c r="A1" s="5"/>
      <c r="B1" s="6"/>
      <c r="C1" s="6"/>
      <c r="D1" s="6"/>
      <c r="E1" s="6"/>
      <c r="F1" s="6"/>
      <c r="G1" s="6"/>
      <c r="H1" s="6"/>
      <c r="I1" s="6"/>
      <c r="J1" s="6"/>
      <c r="K1" s="6"/>
      <c r="L1" s="7"/>
      <c r="M1" s="7"/>
      <c r="N1" s="7"/>
      <c r="O1" s="7"/>
      <c r="P1" s="7"/>
      <c r="Q1" s="7"/>
      <c r="R1" s="7"/>
      <c r="S1" s="7"/>
      <c r="T1" s="7"/>
      <c r="U1" s="8"/>
    </row>
    <row r="2" spans="1:21" ht="13.5" outlineLevel="1">
      <c r="A2" s="202" t="s">
        <v>6</v>
      </c>
      <c r="B2" s="203"/>
      <c r="C2" s="204" t="s">
        <v>7</v>
      </c>
      <c r="D2" s="203"/>
      <c r="E2" s="203"/>
      <c r="F2" s="203"/>
      <c r="G2" s="203"/>
      <c r="H2" s="203"/>
      <c r="I2" s="203"/>
      <c r="J2" s="203"/>
      <c r="K2" s="203"/>
      <c r="L2" s="7"/>
      <c r="M2" s="7"/>
      <c r="N2" s="7"/>
      <c r="O2" s="7"/>
      <c r="P2" s="7"/>
      <c r="Q2" s="7"/>
      <c r="R2" s="7"/>
      <c r="S2" s="7"/>
      <c r="T2" s="7"/>
      <c r="U2" s="8"/>
    </row>
    <row r="3" spans="1:21" ht="15.5">
      <c r="A3" s="205" t="s">
        <v>8</v>
      </c>
      <c r="B3" s="203"/>
      <c r="C3" s="203"/>
      <c r="D3" s="203"/>
      <c r="E3" s="203"/>
      <c r="F3" s="203"/>
      <c r="G3" s="203"/>
      <c r="H3" s="203"/>
      <c r="I3" s="203"/>
      <c r="J3" s="203"/>
      <c r="K3" s="206"/>
      <c r="L3" s="7"/>
      <c r="M3" s="7"/>
      <c r="N3" s="7"/>
      <c r="O3" s="7"/>
      <c r="P3" s="7"/>
      <c r="Q3" s="7"/>
      <c r="R3" s="7"/>
      <c r="S3" s="7"/>
      <c r="T3" s="7"/>
      <c r="U3" s="8"/>
    </row>
    <row r="4" spans="1:21" ht="15.5" outlineLevel="1">
      <c r="A4" s="207" t="s">
        <v>9</v>
      </c>
      <c r="B4" s="208"/>
      <c r="C4" s="9" t="s">
        <v>10</v>
      </c>
      <c r="D4" s="10" t="s">
        <v>11</v>
      </c>
      <c r="E4" s="11" t="s">
        <v>12</v>
      </c>
      <c r="F4" s="9" t="s">
        <v>13</v>
      </c>
      <c r="G4" s="9" t="s">
        <v>14</v>
      </c>
      <c r="H4" s="12" t="s">
        <v>15</v>
      </c>
      <c r="I4" s="9" t="s">
        <v>16</v>
      </c>
      <c r="J4" s="9"/>
      <c r="K4" s="9" t="s">
        <v>17</v>
      </c>
      <c r="L4" s="7"/>
      <c r="M4" s="7"/>
      <c r="N4" s="7"/>
      <c r="O4" s="7"/>
      <c r="P4" s="7"/>
      <c r="Q4" s="7"/>
      <c r="R4" s="7"/>
      <c r="S4" s="7"/>
      <c r="T4" s="7"/>
      <c r="U4" s="8"/>
    </row>
    <row r="5" spans="1:21" ht="143.5" outlineLevel="1">
      <c r="A5" s="13" t="s">
        <v>18</v>
      </c>
      <c r="B5" s="14" t="s">
        <v>19</v>
      </c>
      <c r="C5" s="15">
        <f t="shared" ref="C5:C30" si="0">COUNTIF(F5:I5,TRUE)</f>
        <v>4</v>
      </c>
      <c r="D5" s="16" t="s">
        <v>20</v>
      </c>
      <c r="E5" s="17" t="s">
        <v>21</v>
      </c>
      <c r="F5" s="18" t="b">
        <v>1</v>
      </c>
      <c r="G5" s="19" t="b">
        <v>1</v>
      </c>
      <c r="H5" s="19" t="b">
        <v>1</v>
      </c>
      <c r="I5" s="19" t="b">
        <v>1</v>
      </c>
      <c r="J5" s="19"/>
      <c r="K5" s="20" t="s">
        <v>22</v>
      </c>
      <c r="L5" s="7"/>
      <c r="M5" s="7"/>
      <c r="N5" s="7"/>
      <c r="O5" s="7"/>
      <c r="P5" s="7"/>
      <c r="Q5" s="7"/>
      <c r="R5" s="7"/>
      <c r="S5" s="7"/>
      <c r="T5" s="7"/>
      <c r="U5" s="8"/>
    </row>
    <row r="6" spans="1:21" ht="87.5" outlineLevel="1">
      <c r="A6" s="209" t="s">
        <v>23</v>
      </c>
      <c r="B6" s="212" t="s">
        <v>24</v>
      </c>
      <c r="C6" s="21">
        <f t="shared" si="0"/>
        <v>4</v>
      </c>
      <c r="D6" s="22" t="s">
        <v>25</v>
      </c>
      <c r="E6" s="23" t="s">
        <v>26</v>
      </c>
      <c r="F6" s="24" t="b">
        <v>1</v>
      </c>
      <c r="G6" s="25" t="b">
        <v>1</v>
      </c>
      <c r="H6" s="25" t="b">
        <v>1</v>
      </c>
      <c r="I6" s="25" t="b">
        <v>1</v>
      </c>
      <c r="J6" s="25"/>
      <c r="K6" s="20" t="s">
        <v>27</v>
      </c>
      <c r="L6" s="7"/>
      <c r="M6" s="7"/>
      <c r="N6" s="7"/>
      <c r="O6" s="7"/>
      <c r="P6" s="7"/>
      <c r="Q6" s="7"/>
      <c r="R6" s="7"/>
      <c r="S6" s="7"/>
      <c r="T6" s="7"/>
      <c r="U6" s="8"/>
    </row>
    <row r="7" spans="1:21" ht="100" outlineLevel="1">
      <c r="A7" s="210"/>
      <c r="B7" s="213"/>
      <c r="C7" s="21">
        <f t="shared" si="0"/>
        <v>4</v>
      </c>
      <c r="D7" s="22" t="s">
        <v>28</v>
      </c>
      <c r="E7" s="23" t="s">
        <v>29</v>
      </c>
      <c r="F7" s="24" t="b">
        <v>1</v>
      </c>
      <c r="G7" s="25" t="b">
        <v>1</v>
      </c>
      <c r="H7" s="25" t="b">
        <v>1</v>
      </c>
      <c r="I7" s="25" t="b">
        <v>1</v>
      </c>
      <c r="J7" s="25"/>
      <c r="K7" s="20" t="s">
        <v>30</v>
      </c>
      <c r="L7" s="7"/>
      <c r="M7" s="7"/>
      <c r="N7" s="7"/>
      <c r="O7" s="7"/>
      <c r="P7" s="7"/>
      <c r="Q7" s="7"/>
      <c r="R7" s="7"/>
      <c r="S7" s="7"/>
      <c r="T7" s="7"/>
      <c r="U7" s="8"/>
    </row>
    <row r="8" spans="1:21" ht="50" outlineLevel="1">
      <c r="A8" s="210"/>
      <c r="B8" s="213"/>
      <c r="C8" s="21">
        <f t="shared" si="0"/>
        <v>2</v>
      </c>
      <c r="D8" s="22" t="s">
        <v>31</v>
      </c>
      <c r="E8" s="23" t="s">
        <v>32</v>
      </c>
      <c r="F8" s="24" t="b">
        <v>1</v>
      </c>
      <c r="G8" s="25" t="b">
        <v>1</v>
      </c>
      <c r="H8" s="25" t="b">
        <v>0</v>
      </c>
      <c r="I8" s="25" t="b">
        <v>0</v>
      </c>
      <c r="J8" s="25"/>
      <c r="K8" s="20" t="s">
        <v>33</v>
      </c>
      <c r="L8" s="7"/>
      <c r="M8" s="7"/>
      <c r="N8" s="7"/>
      <c r="O8" s="7"/>
      <c r="P8" s="7"/>
      <c r="Q8" s="7"/>
      <c r="R8" s="7"/>
      <c r="S8" s="7"/>
      <c r="T8" s="7"/>
      <c r="U8" s="8"/>
    </row>
    <row r="9" spans="1:21" ht="37.5" outlineLevel="1">
      <c r="A9" s="210"/>
      <c r="B9" s="213"/>
      <c r="C9" s="21">
        <f t="shared" si="0"/>
        <v>4</v>
      </c>
      <c r="D9" s="22" t="s">
        <v>34</v>
      </c>
      <c r="E9" s="23" t="s">
        <v>35</v>
      </c>
      <c r="F9" s="24" t="b">
        <v>1</v>
      </c>
      <c r="G9" s="25" t="b">
        <v>1</v>
      </c>
      <c r="H9" s="25" t="b">
        <v>1</v>
      </c>
      <c r="I9" s="25" t="b">
        <v>1</v>
      </c>
      <c r="J9" s="26"/>
      <c r="K9" s="20" t="s">
        <v>36</v>
      </c>
      <c r="L9" s="7"/>
      <c r="M9" s="7"/>
      <c r="N9" s="7"/>
      <c r="O9" s="7"/>
      <c r="P9" s="7"/>
      <c r="Q9" s="7"/>
      <c r="R9" s="7"/>
      <c r="S9" s="7"/>
      <c r="T9" s="7"/>
      <c r="U9" s="8"/>
    </row>
    <row r="10" spans="1:21" ht="25" outlineLevel="1">
      <c r="A10" s="211"/>
      <c r="B10" s="214"/>
      <c r="C10" s="27">
        <f t="shared" si="0"/>
        <v>1</v>
      </c>
      <c r="D10" s="16" t="s">
        <v>37</v>
      </c>
      <c r="E10" s="17" t="s">
        <v>38</v>
      </c>
      <c r="F10" s="18" t="b">
        <v>0</v>
      </c>
      <c r="G10" s="19" t="b">
        <v>1</v>
      </c>
      <c r="H10" s="19" t="b">
        <v>0</v>
      </c>
      <c r="I10" s="19" t="b">
        <v>0</v>
      </c>
      <c r="J10" s="28"/>
      <c r="K10" s="20" t="s">
        <v>36</v>
      </c>
      <c r="L10" s="7"/>
      <c r="M10" s="7"/>
      <c r="N10" s="7"/>
      <c r="O10" s="7"/>
      <c r="P10" s="7"/>
      <c r="Q10" s="7"/>
      <c r="R10" s="7"/>
      <c r="S10" s="7"/>
      <c r="T10" s="7"/>
      <c r="U10" s="8"/>
    </row>
    <row r="11" spans="1:21" ht="50" outlineLevel="1">
      <c r="A11" s="215" t="s">
        <v>39</v>
      </c>
      <c r="B11" s="220" t="s">
        <v>40</v>
      </c>
      <c r="C11" s="21">
        <f t="shared" si="0"/>
        <v>1</v>
      </c>
      <c r="D11" s="22" t="s">
        <v>41</v>
      </c>
      <c r="E11" s="23" t="s">
        <v>42</v>
      </c>
      <c r="F11" s="24" t="b">
        <v>0</v>
      </c>
      <c r="G11" s="26" t="b">
        <v>0</v>
      </c>
      <c r="H11" s="25" t="b">
        <v>1</v>
      </c>
      <c r="I11" s="26" t="b">
        <v>0</v>
      </c>
      <c r="J11" s="26"/>
      <c r="K11" s="20" t="s">
        <v>43</v>
      </c>
      <c r="L11" s="7"/>
      <c r="M11" s="7"/>
      <c r="N11" s="7"/>
      <c r="O11" s="7"/>
      <c r="P11" s="7"/>
      <c r="Q11" s="7"/>
      <c r="R11" s="7"/>
      <c r="S11" s="7"/>
      <c r="T11" s="7"/>
      <c r="U11" s="8"/>
    </row>
    <row r="12" spans="1:21" ht="25" outlineLevel="1">
      <c r="A12" s="210"/>
      <c r="B12" s="210"/>
      <c r="C12" s="21">
        <f t="shared" si="0"/>
        <v>1</v>
      </c>
      <c r="D12" s="22" t="s">
        <v>44</v>
      </c>
      <c r="E12" s="23" t="s">
        <v>45</v>
      </c>
      <c r="F12" s="24" t="b">
        <v>0</v>
      </c>
      <c r="G12" s="25" t="b">
        <v>0</v>
      </c>
      <c r="H12" s="25" t="b">
        <v>1</v>
      </c>
      <c r="I12" s="26" t="b">
        <v>0</v>
      </c>
      <c r="J12" s="26"/>
      <c r="K12" s="20" t="s">
        <v>43</v>
      </c>
      <c r="L12" s="7"/>
      <c r="M12" s="7"/>
      <c r="N12" s="7"/>
      <c r="O12" s="7"/>
      <c r="P12" s="7"/>
      <c r="Q12" s="7"/>
      <c r="R12" s="7"/>
      <c r="S12" s="7"/>
      <c r="T12" s="7"/>
      <c r="U12" s="8"/>
    </row>
    <row r="13" spans="1:21" ht="62.5" outlineLevel="1">
      <c r="A13" s="210"/>
      <c r="B13" s="210"/>
      <c r="C13" s="21">
        <f t="shared" si="0"/>
        <v>3</v>
      </c>
      <c r="D13" s="22" t="s">
        <v>46</v>
      </c>
      <c r="E13" s="23" t="s">
        <v>47</v>
      </c>
      <c r="F13" s="24" t="b">
        <v>1</v>
      </c>
      <c r="G13" s="25" t="b">
        <v>0</v>
      </c>
      <c r="H13" s="25" t="b">
        <v>1</v>
      </c>
      <c r="I13" s="25" t="b">
        <v>1</v>
      </c>
      <c r="J13" s="26"/>
      <c r="K13" s="20" t="s">
        <v>48</v>
      </c>
      <c r="L13" s="7"/>
      <c r="M13" s="7"/>
      <c r="N13" s="7"/>
      <c r="O13" s="7"/>
      <c r="P13" s="7"/>
      <c r="Q13" s="7"/>
      <c r="R13" s="7"/>
      <c r="S13" s="7"/>
      <c r="T13" s="7"/>
      <c r="U13" s="8"/>
    </row>
    <row r="14" spans="1:21" ht="13" outlineLevel="1">
      <c r="A14" s="210"/>
      <c r="B14" s="211"/>
      <c r="C14" s="27">
        <f t="shared" si="0"/>
        <v>0</v>
      </c>
      <c r="D14" s="29"/>
      <c r="E14" s="30"/>
      <c r="F14" s="18" t="b">
        <v>0</v>
      </c>
      <c r="G14" s="19" t="b">
        <v>0</v>
      </c>
      <c r="H14" s="19" t="b">
        <v>0</v>
      </c>
      <c r="I14" s="19" t="b">
        <v>0</v>
      </c>
      <c r="J14" s="28"/>
      <c r="K14" s="20"/>
      <c r="L14" s="7"/>
      <c r="M14" s="7"/>
      <c r="N14" s="7"/>
      <c r="O14" s="7"/>
      <c r="P14" s="7"/>
      <c r="Q14" s="7"/>
      <c r="R14" s="7"/>
      <c r="S14" s="7"/>
      <c r="T14" s="7"/>
      <c r="U14" s="8"/>
    </row>
    <row r="15" spans="1:21" ht="62.5" outlineLevel="1">
      <c r="A15" s="210"/>
      <c r="B15" s="221" t="s">
        <v>49</v>
      </c>
      <c r="C15" s="21">
        <f t="shared" si="0"/>
        <v>1</v>
      </c>
      <c r="D15" s="22" t="s">
        <v>50</v>
      </c>
      <c r="E15" s="23" t="s">
        <v>51</v>
      </c>
      <c r="F15" s="24" t="b">
        <v>0</v>
      </c>
      <c r="G15" s="25" t="b">
        <v>0</v>
      </c>
      <c r="H15" s="25" t="b">
        <v>0</v>
      </c>
      <c r="I15" s="25" t="b">
        <v>1</v>
      </c>
      <c r="J15" s="26"/>
      <c r="K15" s="20" t="s">
        <v>52</v>
      </c>
      <c r="L15" s="7"/>
      <c r="M15" s="7"/>
      <c r="N15" s="7"/>
      <c r="O15" s="7"/>
      <c r="P15" s="7"/>
      <c r="Q15" s="7"/>
      <c r="R15" s="7"/>
      <c r="S15" s="7"/>
      <c r="T15" s="7"/>
      <c r="U15" s="8"/>
    </row>
    <row r="16" spans="1:21" ht="37.5" outlineLevel="1">
      <c r="A16" s="210"/>
      <c r="B16" s="210"/>
      <c r="C16" s="21">
        <f t="shared" si="0"/>
        <v>1</v>
      </c>
      <c r="D16" s="22" t="s">
        <v>53</v>
      </c>
      <c r="E16" s="23" t="s">
        <v>54</v>
      </c>
      <c r="F16" s="24" t="b">
        <v>0</v>
      </c>
      <c r="G16" s="26" t="b">
        <v>0</v>
      </c>
      <c r="H16" s="26" t="b">
        <v>0</v>
      </c>
      <c r="I16" s="25" t="b">
        <v>1</v>
      </c>
      <c r="J16" s="26"/>
      <c r="K16" s="20" t="s">
        <v>52</v>
      </c>
      <c r="L16" s="7"/>
      <c r="M16" s="7"/>
      <c r="N16" s="7"/>
      <c r="O16" s="7"/>
      <c r="P16" s="7"/>
      <c r="Q16" s="7"/>
      <c r="R16" s="7"/>
      <c r="S16" s="7"/>
      <c r="T16" s="7"/>
      <c r="U16" s="8"/>
    </row>
    <row r="17" spans="1:21" ht="37.5" outlineLevel="1">
      <c r="A17" s="211"/>
      <c r="B17" s="211"/>
      <c r="C17" s="27">
        <f t="shared" si="0"/>
        <v>0</v>
      </c>
      <c r="D17" s="16" t="s">
        <v>55</v>
      </c>
      <c r="E17" s="17" t="s">
        <v>56</v>
      </c>
      <c r="F17" s="18" t="b">
        <v>0</v>
      </c>
      <c r="G17" s="28" t="b">
        <v>0</v>
      </c>
      <c r="H17" s="28" t="b">
        <v>0</v>
      </c>
      <c r="I17" s="28" t="b">
        <v>0</v>
      </c>
      <c r="J17" s="28"/>
      <c r="K17" s="20"/>
      <c r="L17" s="7"/>
      <c r="M17" s="7"/>
      <c r="N17" s="7"/>
      <c r="O17" s="7"/>
      <c r="P17" s="7"/>
      <c r="Q17" s="7"/>
      <c r="R17" s="7"/>
      <c r="S17" s="7"/>
      <c r="T17" s="7"/>
      <c r="U17" s="8"/>
    </row>
    <row r="18" spans="1:21" ht="50" outlineLevel="1">
      <c r="A18" s="222" t="s">
        <v>57</v>
      </c>
      <c r="B18" s="223" t="s">
        <v>58</v>
      </c>
      <c r="C18" s="21">
        <f t="shared" si="0"/>
        <v>3</v>
      </c>
      <c r="D18" s="22" t="s">
        <v>59</v>
      </c>
      <c r="E18" s="23" t="s">
        <v>60</v>
      </c>
      <c r="F18" s="24" t="b">
        <v>0</v>
      </c>
      <c r="G18" s="25" t="b">
        <v>1</v>
      </c>
      <c r="H18" s="25" t="b">
        <v>1</v>
      </c>
      <c r="I18" s="25" t="b">
        <v>1</v>
      </c>
      <c r="J18" s="26"/>
      <c r="K18" s="20" t="s">
        <v>61</v>
      </c>
      <c r="L18" s="7"/>
      <c r="M18" s="7"/>
      <c r="N18" s="7"/>
      <c r="O18" s="7"/>
      <c r="P18" s="7"/>
      <c r="Q18" s="7"/>
      <c r="R18" s="7"/>
      <c r="S18" s="7"/>
      <c r="T18" s="7"/>
      <c r="U18" s="8"/>
    </row>
    <row r="19" spans="1:21" ht="62.5" outlineLevel="1">
      <c r="A19" s="210"/>
      <c r="B19" s="211"/>
      <c r="C19" s="27">
        <f t="shared" si="0"/>
        <v>3</v>
      </c>
      <c r="D19" s="16" t="s">
        <v>62</v>
      </c>
      <c r="E19" s="17" t="s">
        <v>63</v>
      </c>
      <c r="F19" s="18" t="b">
        <v>0</v>
      </c>
      <c r="G19" s="19" t="b">
        <v>1</v>
      </c>
      <c r="H19" s="19" t="b">
        <v>1</v>
      </c>
      <c r="I19" s="19" t="b">
        <v>1</v>
      </c>
      <c r="J19" s="28"/>
      <c r="K19" s="20" t="s">
        <v>61</v>
      </c>
      <c r="L19" s="7"/>
      <c r="M19" s="7"/>
      <c r="N19" s="7"/>
      <c r="O19" s="7"/>
      <c r="P19" s="7"/>
      <c r="Q19" s="7"/>
      <c r="R19" s="7"/>
      <c r="S19" s="7"/>
      <c r="T19" s="7"/>
      <c r="U19" s="8"/>
    </row>
    <row r="20" spans="1:21" ht="62.5" outlineLevel="1">
      <c r="A20" s="211"/>
      <c r="B20" s="31" t="s">
        <v>64</v>
      </c>
      <c r="C20" s="27">
        <f t="shared" si="0"/>
        <v>1</v>
      </c>
      <c r="D20" s="16" t="s">
        <v>65</v>
      </c>
      <c r="E20" s="17" t="s">
        <v>66</v>
      </c>
      <c r="F20" s="18" t="b">
        <v>0</v>
      </c>
      <c r="G20" s="19" t="b">
        <v>0</v>
      </c>
      <c r="H20" s="19" t="b">
        <v>0</v>
      </c>
      <c r="I20" s="19" t="b">
        <v>1</v>
      </c>
      <c r="J20" s="28"/>
      <c r="K20" s="20" t="s">
        <v>67</v>
      </c>
      <c r="L20" s="7"/>
      <c r="M20" s="7"/>
      <c r="N20" s="7"/>
      <c r="O20" s="7"/>
      <c r="P20" s="7"/>
      <c r="Q20" s="7"/>
      <c r="R20" s="7"/>
      <c r="S20" s="7"/>
      <c r="T20" s="7"/>
      <c r="U20" s="8"/>
    </row>
    <row r="21" spans="1:21" ht="100" outlineLevel="1">
      <c r="A21" s="224" t="s">
        <v>68</v>
      </c>
      <c r="B21" s="225" t="s">
        <v>69</v>
      </c>
      <c r="C21" s="21">
        <f t="shared" si="0"/>
        <v>4</v>
      </c>
      <c r="D21" s="22" t="s">
        <v>70</v>
      </c>
      <c r="E21" s="23" t="s">
        <v>71</v>
      </c>
      <c r="F21" s="24" t="b">
        <v>1</v>
      </c>
      <c r="G21" s="25" t="b">
        <v>1</v>
      </c>
      <c r="H21" s="25" t="b">
        <v>1</v>
      </c>
      <c r="I21" s="25" t="b">
        <v>1</v>
      </c>
      <c r="J21" s="26"/>
      <c r="K21" s="20" t="s">
        <v>72</v>
      </c>
      <c r="L21" s="7"/>
      <c r="M21" s="7"/>
      <c r="N21" s="7"/>
      <c r="O21" s="7"/>
      <c r="P21" s="7"/>
      <c r="Q21" s="7"/>
      <c r="R21" s="7"/>
      <c r="S21" s="7"/>
      <c r="T21" s="7"/>
      <c r="U21" s="8"/>
    </row>
    <row r="22" spans="1:21" ht="37.5" outlineLevel="1">
      <c r="A22" s="210"/>
      <c r="B22" s="210"/>
      <c r="C22" s="21">
        <f t="shared" si="0"/>
        <v>2</v>
      </c>
      <c r="D22" s="22" t="s">
        <v>73</v>
      </c>
      <c r="E22" s="23" t="s">
        <v>74</v>
      </c>
      <c r="F22" s="24" t="b">
        <v>0</v>
      </c>
      <c r="G22" s="25" t="b">
        <v>1</v>
      </c>
      <c r="H22" s="25" t="b">
        <v>0</v>
      </c>
      <c r="I22" s="25" t="b">
        <v>1</v>
      </c>
      <c r="J22" s="26"/>
      <c r="K22" s="20" t="s">
        <v>75</v>
      </c>
      <c r="L22" s="7"/>
      <c r="M22" s="7"/>
      <c r="N22" s="7"/>
      <c r="O22" s="7"/>
      <c r="P22" s="7"/>
      <c r="Q22" s="7"/>
      <c r="R22" s="7"/>
      <c r="S22" s="7"/>
      <c r="T22" s="7"/>
      <c r="U22" s="8"/>
    </row>
    <row r="23" spans="1:21" ht="75" outlineLevel="1">
      <c r="A23" s="210"/>
      <c r="B23" s="211"/>
      <c r="C23" s="27">
        <f t="shared" si="0"/>
        <v>4</v>
      </c>
      <c r="D23" s="16" t="s">
        <v>76</v>
      </c>
      <c r="E23" s="17" t="s">
        <v>77</v>
      </c>
      <c r="F23" s="18" t="b">
        <v>1</v>
      </c>
      <c r="G23" s="19" t="b">
        <v>1</v>
      </c>
      <c r="H23" s="19" t="b">
        <v>1</v>
      </c>
      <c r="I23" s="19" t="b">
        <v>1</v>
      </c>
      <c r="J23" s="28"/>
      <c r="K23" s="20" t="s">
        <v>78</v>
      </c>
      <c r="L23" s="7"/>
      <c r="M23" s="7"/>
      <c r="N23" s="7"/>
      <c r="O23" s="7"/>
      <c r="P23" s="7"/>
      <c r="Q23" s="7"/>
      <c r="R23" s="7"/>
      <c r="S23" s="7"/>
      <c r="T23" s="7"/>
      <c r="U23" s="8"/>
    </row>
    <row r="24" spans="1:21" ht="75" outlineLevel="1">
      <c r="A24" s="210"/>
      <c r="B24" s="226" t="s">
        <v>79</v>
      </c>
      <c r="C24" s="21">
        <f t="shared" si="0"/>
        <v>3</v>
      </c>
      <c r="D24" s="22" t="s">
        <v>80</v>
      </c>
      <c r="E24" s="23" t="s">
        <v>81</v>
      </c>
      <c r="F24" s="24" t="b">
        <v>1</v>
      </c>
      <c r="G24" s="25" t="b">
        <v>1</v>
      </c>
      <c r="H24" s="25" t="b">
        <v>0</v>
      </c>
      <c r="I24" s="25" t="b">
        <v>1</v>
      </c>
      <c r="J24" s="26"/>
      <c r="K24" s="32" t="s">
        <v>82</v>
      </c>
      <c r="L24" s="7"/>
      <c r="M24" s="7"/>
      <c r="N24" s="7"/>
      <c r="O24" s="7"/>
      <c r="P24" s="7"/>
      <c r="Q24" s="7"/>
      <c r="R24" s="7"/>
      <c r="S24" s="7"/>
      <c r="T24" s="7"/>
      <c r="U24" s="8"/>
    </row>
    <row r="25" spans="1:21" ht="87.5" outlineLevel="1">
      <c r="A25" s="210"/>
      <c r="B25" s="210"/>
      <c r="C25" s="21">
        <f t="shared" si="0"/>
        <v>4</v>
      </c>
      <c r="D25" s="22" t="s">
        <v>83</v>
      </c>
      <c r="E25" s="23" t="s">
        <v>84</v>
      </c>
      <c r="F25" s="24" t="b">
        <v>1</v>
      </c>
      <c r="G25" s="25" t="b">
        <v>1</v>
      </c>
      <c r="H25" s="25" t="b">
        <v>1</v>
      </c>
      <c r="I25" s="25" t="b">
        <v>1</v>
      </c>
      <c r="J25" s="26"/>
      <c r="K25" s="20" t="s">
        <v>85</v>
      </c>
      <c r="L25" s="7"/>
      <c r="M25" s="7"/>
      <c r="N25" s="7"/>
      <c r="O25" s="7"/>
      <c r="P25" s="7"/>
      <c r="Q25" s="7"/>
      <c r="R25" s="7"/>
      <c r="S25" s="7"/>
      <c r="T25" s="7"/>
      <c r="U25" s="8"/>
    </row>
    <row r="26" spans="1:21" ht="50" outlineLevel="1">
      <c r="A26" s="210"/>
      <c r="B26" s="210"/>
      <c r="C26" s="21">
        <f t="shared" si="0"/>
        <v>2</v>
      </c>
      <c r="D26" s="22" t="s">
        <v>86</v>
      </c>
      <c r="E26" s="23" t="s">
        <v>87</v>
      </c>
      <c r="F26" s="24" t="b">
        <v>1</v>
      </c>
      <c r="G26" s="25" t="b">
        <v>0</v>
      </c>
      <c r="H26" s="25" t="b">
        <v>0</v>
      </c>
      <c r="I26" s="25" t="b">
        <v>1</v>
      </c>
      <c r="J26" s="26"/>
      <c r="K26" s="20" t="s">
        <v>88</v>
      </c>
      <c r="L26" s="7"/>
      <c r="M26" s="7"/>
      <c r="N26" s="7"/>
      <c r="O26" s="7"/>
      <c r="P26" s="7"/>
      <c r="Q26" s="7"/>
      <c r="R26" s="7"/>
      <c r="S26" s="7"/>
      <c r="T26" s="7"/>
      <c r="U26" s="8"/>
    </row>
    <row r="27" spans="1:21" ht="34.5" outlineLevel="1">
      <c r="A27" s="210"/>
      <c r="B27" s="210"/>
      <c r="C27" s="21">
        <f t="shared" si="0"/>
        <v>2</v>
      </c>
      <c r="D27" s="22" t="s">
        <v>89</v>
      </c>
      <c r="E27" s="23" t="s">
        <v>90</v>
      </c>
      <c r="F27" s="24" t="b">
        <v>1</v>
      </c>
      <c r="G27" s="25" t="b">
        <v>0</v>
      </c>
      <c r="H27" s="25" t="b">
        <v>0</v>
      </c>
      <c r="I27" s="25" t="b">
        <v>1</v>
      </c>
      <c r="J27" s="26"/>
      <c r="K27" s="33" t="s">
        <v>91</v>
      </c>
      <c r="L27" s="7"/>
      <c r="M27" s="7"/>
      <c r="N27" s="7"/>
      <c r="O27" s="7"/>
      <c r="P27" s="7"/>
      <c r="Q27" s="7"/>
      <c r="R27" s="7"/>
      <c r="S27" s="7"/>
      <c r="T27" s="7"/>
      <c r="U27" s="8"/>
    </row>
    <row r="28" spans="1:21" ht="69" outlineLevel="1">
      <c r="A28" s="210"/>
      <c r="B28" s="211"/>
      <c r="C28" s="27">
        <f t="shared" si="0"/>
        <v>4</v>
      </c>
      <c r="D28" s="16" t="s">
        <v>92</v>
      </c>
      <c r="E28" s="17" t="s">
        <v>93</v>
      </c>
      <c r="F28" s="18" t="b">
        <v>1</v>
      </c>
      <c r="G28" s="19" t="b">
        <v>1</v>
      </c>
      <c r="H28" s="19" t="b">
        <v>1</v>
      </c>
      <c r="I28" s="19" t="b">
        <v>1</v>
      </c>
      <c r="J28" s="28"/>
      <c r="K28" s="33" t="s">
        <v>94</v>
      </c>
      <c r="L28" s="7"/>
      <c r="M28" s="7"/>
      <c r="N28" s="7"/>
      <c r="O28" s="7"/>
      <c r="P28" s="7"/>
      <c r="Q28" s="7"/>
      <c r="R28" s="7"/>
      <c r="S28" s="7"/>
      <c r="T28" s="7"/>
      <c r="U28" s="8"/>
    </row>
    <row r="29" spans="1:21" ht="50" outlineLevel="1">
      <c r="A29" s="210"/>
      <c r="B29" s="216" t="s">
        <v>95</v>
      </c>
      <c r="C29" s="21">
        <f t="shared" si="0"/>
        <v>2</v>
      </c>
      <c r="D29" s="22" t="s">
        <v>96</v>
      </c>
      <c r="E29" s="23" t="s">
        <v>97</v>
      </c>
      <c r="F29" s="24" t="b">
        <v>0</v>
      </c>
      <c r="G29" s="25" t="b">
        <v>1</v>
      </c>
      <c r="H29" s="25" t="b">
        <v>0</v>
      </c>
      <c r="I29" s="25" t="b">
        <v>1</v>
      </c>
      <c r="J29" s="26"/>
      <c r="K29" s="34" t="s">
        <v>98</v>
      </c>
      <c r="L29" s="7"/>
      <c r="M29" s="7"/>
      <c r="N29" s="7"/>
      <c r="O29" s="7"/>
      <c r="P29" s="7"/>
      <c r="Q29" s="7"/>
      <c r="R29" s="7"/>
      <c r="S29" s="7"/>
      <c r="T29" s="7"/>
      <c r="U29" s="8"/>
    </row>
    <row r="30" spans="1:21" ht="56" outlineLevel="1">
      <c r="A30" s="211"/>
      <c r="B30" s="211"/>
      <c r="C30" s="21">
        <f t="shared" si="0"/>
        <v>2</v>
      </c>
      <c r="D30" s="16" t="s">
        <v>99</v>
      </c>
      <c r="E30" s="17" t="s">
        <v>100</v>
      </c>
      <c r="F30" s="18" t="b">
        <v>0</v>
      </c>
      <c r="G30" s="19" t="b">
        <v>1</v>
      </c>
      <c r="H30" s="19" t="b">
        <v>0</v>
      </c>
      <c r="I30" s="19" t="b">
        <v>1</v>
      </c>
      <c r="J30" s="28"/>
      <c r="K30" s="35" t="s">
        <v>101</v>
      </c>
      <c r="L30" s="7"/>
      <c r="M30" s="7"/>
      <c r="N30" s="7"/>
      <c r="O30" s="7"/>
      <c r="P30" s="7"/>
      <c r="Q30" s="7"/>
      <c r="R30" s="7"/>
      <c r="S30" s="7"/>
      <c r="T30" s="7"/>
      <c r="U30" s="8"/>
    </row>
    <row r="31" spans="1:21" ht="12.5">
      <c r="A31" s="36"/>
      <c r="B31" s="36"/>
      <c r="C31" s="36"/>
      <c r="D31" s="36"/>
      <c r="E31" s="36"/>
      <c r="F31" s="36"/>
      <c r="G31" s="36"/>
      <c r="H31" s="36"/>
      <c r="I31" s="36"/>
      <c r="J31" s="36"/>
      <c r="K31" s="36"/>
      <c r="L31" s="7"/>
      <c r="M31" s="7"/>
      <c r="N31" s="7"/>
      <c r="O31" s="7"/>
      <c r="P31" s="7"/>
      <c r="Q31" s="7"/>
      <c r="R31" s="7"/>
      <c r="S31" s="7"/>
      <c r="T31" s="7"/>
      <c r="U31" s="8"/>
    </row>
    <row r="32" spans="1:21" ht="84" outlineLevel="1">
      <c r="A32" s="217" t="s">
        <v>6</v>
      </c>
      <c r="B32" s="218"/>
      <c r="C32" s="37" t="s">
        <v>102</v>
      </c>
      <c r="D32" s="38">
        <f>COUNTIF(L35:L60,TRUE)</f>
        <v>6</v>
      </c>
      <c r="E32" s="39" t="s">
        <v>103</v>
      </c>
      <c r="F32" s="219" t="s">
        <v>104</v>
      </c>
      <c r="G32" s="218"/>
      <c r="H32" s="40">
        <f ca="1">IFERROR(__xludf.DUMMYFUNCTION("COUNTUNIQUE(D5:D30)"),25)</f>
        <v>25</v>
      </c>
      <c r="I32" s="41" t="s">
        <v>105</v>
      </c>
      <c r="J32" s="42"/>
      <c r="K32" s="42">
        <f ca="1">H32/3</f>
        <v>8.3333333333333339</v>
      </c>
      <c r="L32" s="43"/>
      <c r="M32" s="43"/>
      <c r="N32" s="43"/>
      <c r="O32" s="43"/>
      <c r="P32" s="43"/>
      <c r="Q32" s="43"/>
      <c r="R32" s="43"/>
      <c r="S32" s="43"/>
      <c r="T32" s="43"/>
      <c r="U32" s="44"/>
    </row>
    <row r="33" spans="1:21" ht="17.5" outlineLevel="1">
      <c r="A33" s="227" t="s">
        <v>106</v>
      </c>
      <c r="B33" s="203"/>
      <c r="C33" s="45">
        <v>2</v>
      </c>
      <c r="D33" s="7"/>
      <c r="E33" s="46" t="s">
        <v>107</v>
      </c>
      <c r="F33" s="7"/>
      <c r="G33" s="7"/>
      <c r="H33" s="7"/>
      <c r="I33" s="7"/>
      <c r="J33" s="7"/>
      <c r="K33" s="7"/>
      <c r="L33" s="7"/>
      <c r="M33" s="7"/>
      <c r="N33" s="7"/>
      <c r="O33" s="7"/>
      <c r="P33" s="7"/>
      <c r="Q33" s="7"/>
      <c r="R33" s="7"/>
      <c r="S33" s="7"/>
      <c r="T33" s="7"/>
      <c r="U33" s="8"/>
    </row>
    <row r="34" spans="1:21" ht="15.5" outlineLevel="1">
      <c r="A34" s="207" t="s">
        <v>9</v>
      </c>
      <c r="B34" s="208"/>
      <c r="C34" s="9" t="s">
        <v>10</v>
      </c>
      <c r="D34" s="10" t="s">
        <v>11</v>
      </c>
      <c r="E34" s="11" t="s">
        <v>12</v>
      </c>
      <c r="F34" s="9" t="s">
        <v>13</v>
      </c>
      <c r="G34" s="9" t="s">
        <v>14</v>
      </c>
      <c r="H34" s="9" t="s">
        <v>15</v>
      </c>
      <c r="I34" s="9" t="s">
        <v>16</v>
      </c>
      <c r="J34" s="9"/>
      <c r="K34" s="9" t="s">
        <v>17</v>
      </c>
      <c r="L34" s="10" t="s">
        <v>108</v>
      </c>
      <c r="M34" s="7"/>
      <c r="N34" s="7"/>
      <c r="O34" s="7"/>
      <c r="P34" s="7"/>
      <c r="Q34" s="7"/>
      <c r="R34" s="7"/>
      <c r="S34" s="7"/>
      <c r="T34" s="7"/>
      <c r="U34" s="8"/>
    </row>
    <row r="35" spans="1:21" ht="143.5" outlineLevel="1">
      <c r="A35" s="13" t="s">
        <v>18</v>
      </c>
      <c r="B35" s="14" t="s">
        <v>19</v>
      </c>
      <c r="C35" s="15">
        <f t="shared" ref="C35:C60" si="1">COUNTIF(F35:I35,TRUE)</f>
        <v>4</v>
      </c>
      <c r="D35" s="7" t="str">
        <f t="shared" ref="D35:I35" si="2">IF($C5&gt;$C$33,D5,"")</f>
        <v>K.NBT.A.1</v>
      </c>
      <c r="E35" s="47" t="str">
        <f t="shared" si="2"/>
        <v>Compose and decompose numbers from 11 to 19 into ten ones and some further ones, e.g., by using objects or drawings, and record each composition or decomposition by a drawing or equation (such as 18 = 10 + 8); understand that these numbers are composed of ten ones and one, two, three, four, five, six, seven, eight, or nine ones.</v>
      </c>
      <c r="F35" s="7" t="b">
        <f t="shared" si="2"/>
        <v>1</v>
      </c>
      <c r="G35" s="7" t="b">
        <f t="shared" si="2"/>
        <v>1</v>
      </c>
      <c r="H35" s="7" t="b">
        <f t="shared" si="2"/>
        <v>1</v>
      </c>
      <c r="I35" s="7" t="b">
        <f t="shared" si="2"/>
        <v>1</v>
      </c>
      <c r="J35" s="7"/>
      <c r="K35" s="47" t="str">
        <f t="shared" ref="K35:K60" si="3">IF($C5&gt;$C$33,K5,"")</f>
        <v xml:space="preserve">R- 1st grade will build upon this learning
E- PLace value will be taught and used across 
grade-levels
A-assessed on MAP
L- students will use this skill in skip counting, counting
addition, and subtraction </v>
      </c>
      <c r="L35" s="48" t="b">
        <v>1</v>
      </c>
      <c r="M35" s="7">
        <f t="shared" ref="M35:U35" si="4">IF($L35=TRUE,C35,"")</f>
        <v>4</v>
      </c>
      <c r="N35" s="7" t="str">
        <f t="shared" si="4"/>
        <v>K.NBT.A.1</v>
      </c>
      <c r="O35" s="7" t="str">
        <f t="shared" si="4"/>
        <v>Compose and decompose numbers from 11 to 19 into ten ones and some further ones, e.g., by using objects or drawings, and record each composition or decomposition by a drawing or equation (such as 18 = 10 + 8); understand that these numbers are composed of ten ones and one, two, three, four, five, six, seven, eight, or nine ones.</v>
      </c>
      <c r="P35" s="7" t="b">
        <f t="shared" si="4"/>
        <v>1</v>
      </c>
      <c r="Q35" s="7" t="b">
        <f t="shared" si="4"/>
        <v>1</v>
      </c>
      <c r="R35" s="7" t="b">
        <f t="shared" si="4"/>
        <v>1</v>
      </c>
      <c r="S35" s="7" t="b">
        <f t="shared" si="4"/>
        <v>1</v>
      </c>
      <c r="T35" s="7">
        <f t="shared" si="4"/>
        <v>0</v>
      </c>
      <c r="U35" s="8" t="str">
        <f t="shared" si="4"/>
        <v xml:space="preserve">R- 1st grade will build upon this learning
E- PLace value will be taught and used across 
grade-levels
A-assessed on MAP
L- students will use this skill in skip counting, counting
addition, and subtraction </v>
      </c>
    </row>
    <row r="36" spans="1:21" ht="87.5" outlineLevel="1">
      <c r="A36" s="209" t="s">
        <v>23</v>
      </c>
      <c r="B36" s="228" t="s">
        <v>24</v>
      </c>
      <c r="C36" s="21">
        <f t="shared" si="1"/>
        <v>4</v>
      </c>
      <c r="D36" s="7" t="str">
        <f t="shared" ref="D36:I36" si="5">IF($C6&gt;$C$33,D6,"")</f>
        <v>K.OA.A.1</v>
      </c>
      <c r="E36" s="47" t="str">
        <f t="shared" si="5"/>
        <v>Represent addition and subtraction with objects, fingers, mental images, drawings, sounds (e.g., claps), acting out situations, verbal explanations, expressions, or equations.</v>
      </c>
      <c r="F36" s="7" t="b">
        <f t="shared" si="5"/>
        <v>1</v>
      </c>
      <c r="G36" s="7" t="b">
        <f t="shared" si="5"/>
        <v>1</v>
      </c>
      <c r="H36" s="7" t="b">
        <f t="shared" si="5"/>
        <v>1</v>
      </c>
      <c r="I36" s="7" t="b">
        <f t="shared" si="5"/>
        <v>1</v>
      </c>
      <c r="J36" s="7"/>
      <c r="K36" s="47" t="str">
        <f t="shared" si="3"/>
        <v>R- Students need to be able to know the operations /skills without the story problems
E- Students will use this skill when solving word problems and equations with numbers only.
A- assessed on MAP
L- This can be used in science when they are collecting data</v>
      </c>
      <c r="L36" s="48" t="b">
        <v>1</v>
      </c>
      <c r="M36" s="7">
        <f t="shared" ref="M36:U36" si="6">IF($L36=TRUE,C36,"")</f>
        <v>4</v>
      </c>
      <c r="N36" s="7" t="str">
        <f t="shared" si="6"/>
        <v>K.OA.A.1</v>
      </c>
      <c r="O36" s="7" t="str">
        <f t="shared" si="6"/>
        <v>Represent addition and subtraction with objects, fingers, mental images, drawings, sounds (e.g., claps), acting out situations, verbal explanations, expressions, or equations.</v>
      </c>
      <c r="P36" s="7" t="b">
        <f t="shared" si="6"/>
        <v>1</v>
      </c>
      <c r="Q36" s="7" t="b">
        <f t="shared" si="6"/>
        <v>1</v>
      </c>
      <c r="R36" s="7" t="b">
        <f t="shared" si="6"/>
        <v>1</v>
      </c>
      <c r="S36" s="7" t="b">
        <f t="shared" si="6"/>
        <v>1</v>
      </c>
      <c r="T36" s="7">
        <f t="shared" si="6"/>
        <v>0</v>
      </c>
      <c r="U36" s="8" t="str">
        <f t="shared" si="6"/>
        <v>R- Students need to be able to know the operations /skills without the story problems
E- Students will use this skill when solving word problems and equations with numbers only.
A- assessed on MAP
L- This can be used in science when they are collecting data</v>
      </c>
    </row>
    <row r="37" spans="1:21" ht="100" outlineLevel="1">
      <c r="A37" s="210"/>
      <c r="B37" s="210"/>
      <c r="C37" s="21">
        <f t="shared" si="1"/>
        <v>4</v>
      </c>
      <c r="D37" s="7" t="str">
        <f t="shared" ref="D37:I37" si="7">IF($C7&gt;$C$33,D7,"")</f>
        <v>K.OA.A.2</v>
      </c>
      <c r="E37" s="47" t="str">
        <f t="shared" si="7"/>
        <v>Solve addition and subtraction word problems, and add and subtract within 10, e.g., by using objects or drawings to represent the problem.</v>
      </c>
      <c r="F37" s="7" t="b">
        <f t="shared" si="7"/>
        <v>1</v>
      </c>
      <c r="G37" s="7" t="b">
        <f t="shared" si="7"/>
        <v>1</v>
      </c>
      <c r="H37" s="7" t="b">
        <f t="shared" si="7"/>
        <v>1</v>
      </c>
      <c r="I37" s="7" t="b">
        <f t="shared" si="7"/>
        <v>1</v>
      </c>
      <c r="J37" s="7"/>
      <c r="K37" s="47" t="str">
        <f t="shared" si="3"/>
        <v xml:space="preserve">R- 1st grade will build upon this learning
E- Addition &amp; subtraction  will be taught and used across 
grade-levels
A-assessed on MAP
L- students will use this skill in skip counting, counting
addition, and subtraction </v>
      </c>
      <c r="L37" s="48" t="b">
        <v>1</v>
      </c>
      <c r="M37" s="7">
        <f t="shared" ref="M37:U37" si="8">IF($L37=TRUE,C37,"")</f>
        <v>4</v>
      </c>
      <c r="N37" s="7" t="str">
        <f t="shared" si="8"/>
        <v>K.OA.A.2</v>
      </c>
      <c r="O37" s="7" t="str">
        <f t="shared" si="8"/>
        <v>Solve addition and subtraction word problems, and add and subtract within 10, e.g., by using objects or drawings to represent the problem.</v>
      </c>
      <c r="P37" s="7" t="b">
        <f t="shared" si="8"/>
        <v>1</v>
      </c>
      <c r="Q37" s="7" t="b">
        <f t="shared" si="8"/>
        <v>1</v>
      </c>
      <c r="R37" s="7" t="b">
        <f t="shared" si="8"/>
        <v>1</v>
      </c>
      <c r="S37" s="7" t="b">
        <f t="shared" si="8"/>
        <v>1</v>
      </c>
      <c r="T37" s="7">
        <f t="shared" si="8"/>
        <v>0</v>
      </c>
      <c r="U37" s="8" t="str">
        <f t="shared" si="8"/>
        <v xml:space="preserve">R- 1st grade will build upon this learning
E- Addition &amp; subtraction  will be taught and used across 
grade-levels
A-assessed on MAP
L- students will use this skill in skip counting, counting
addition, and subtraction </v>
      </c>
    </row>
    <row r="38" spans="1:21" ht="13" outlineLevel="1">
      <c r="A38" s="210"/>
      <c r="B38" s="210"/>
      <c r="C38" s="21">
        <f t="shared" si="1"/>
        <v>0</v>
      </c>
      <c r="D38" s="7" t="str">
        <f t="shared" ref="D38:I38" si="9">IF($C8&gt;$C$33,D8,"")</f>
        <v/>
      </c>
      <c r="E38" s="47" t="str">
        <f t="shared" si="9"/>
        <v/>
      </c>
      <c r="F38" s="7" t="str">
        <f t="shared" si="9"/>
        <v/>
      </c>
      <c r="G38" s="7" t="str">
        <f t="shared" si="9"/>
        <v/>
      </c>
      <c r="H38" s="7" t="str">
        <f t="shared" si="9"/>
        <v/>
      </c>
      <c r="I38" s="7" t="str">
        <f t="shared" si="9"/>
        <v/>
      </c>
      <c r="J38" s="7"/>
      <c r="K38" s="47" t="str">
        <f t="shared" si="3"/>
        <v/>
      </c>
      <c r="L38" s="48" t="b">
        <v>0</v>
      </c>
      <c r="M38" s="7" t="str">
        <f t="shared" ref="M38:U38" si="10">IF($L38=TRUE,C38,"")</f>
        <v/>
      </c>
      <c r="N38" s="7" t="str">
        <f t="shared" si="10"/>
        <v/>
      </c>
      <c r="O38" s="7" t="str">
        <f t="shared" si="10"/>
        <v/>
      </c>
      <c r="P38" s="7" t="str">
        <f t="shared" si="10"/>
        <v/>
      </c>
      <c r="Q38" s="7" t="str">
        <f t="shared" si="10"/>
        <v/>
      </c>
      <c r="R38" s="7" t="str">
        <f t="shared" si="10"/>
        <v/>
      </c>
      <c r="S38" s="7" t="str">
        <f t="shared" si="10"/>
        <v/>
      </c>
      <c r="T38" s="7" t="str">
        <f t="shared" si="10"/>
        <v/>
      </c>
      <c r="U38" s="8" t="str">
        <f t="shared" si="10"/>
        <v/>
      </c>
    </row>
    <row r="39" spans="1:21" ht="37.5" outlineLevel="1">
      <c r="A39" s="210"/>
      <c r="B39" s="210"/>
      <c r="C39" s="21">
        <f t="shared" si="1"/>
        <v>4</v>
      </c>
      <c r="D39" s="7" t="str">
        <f t="shared" ref="D39:I39" si="11">IF($C9&gt;$C$33,D9,"")</f>
        <v>K.OA.A.4</v>
      </c>
      <c r="E39" s="47" t="str">
        <f t="shared" si="11"/>
        <v>For any number from 1 to 9, find the number that makes 10 when added to the given number, e.g., by using objects or drawings, and record the answer with a drawing or equation.</v>
      </c>
      <c r="F39" s="7" t="b">
        <f t="shared" si="11"/>
        <v>1</v>
      </c>
      <c r="G39" s="7" t="b">
        <f t="shared" si="11"/>
        <v>1</v>
      </c>
      <c r="H39" s="7" t="b">
        <f t="shared" si="11"/>
        <v>1</v>
      </c>
      <c r="I39" s="7" t="b">
        <f t="shared" si="11"/>
        <v>1</v>
      </c>
      <c r="J39" s="7"/>
      <c r="K39" s="47" t="str">
        <f t="shared" si="3"/>
        <v>E- This will become fluent and they will use it to solve problems faster</v>
      </c>
      <c r="L39" s="48" t="b">
        <v>0</v>
      </c>
      <c r="M39" s="7" t="str">
        <f t="shared" ref="M39:U39" si="12">IF($L39=TRUE,C39,"")</f>
        <v/>
      </c>
      <c r="N39" s="7" t="str">
        <f t="shared" si="12"/>
        <v/>
      </c>
      <c r="O39" s="7" t="str">
        <f t="shared" si="12"/>
        <v/>
      </c>
      <c r="P39" s="7" t="str">
        <f t="shared" si="12"/>
        <v/>
      </c>
      <c r="Q39" s="7" t="str">
        <f t="shared" si="12"/>
        <v/>
      </c>
      <c r="R39" s="7" t="str">
        <f t="shared" si="12"/>
        <v/>
      </c>
      <c r="S39" s="7" t="str">
        <f t="shared" si="12"/>
        <v/>
      </c>
      <c r="T39" s="7" t="str">
        <f t="shared" si="12"/>
        <v/>
      </c>
      <c r="U39" s="8" t="str">
        <f t="shared" si="12"/>
        <v/>
      </c>
    </row>
    <row r="40" spans="1:21" ht="13" outlineLevel="1">
      <c r="A40" s="211"/>
      <c r="B40" s="211"/>
      <c r="C40" s="27">
        <f t="shared" si="1"/>
        <v>0</v>
      </c>
      <c r="D40" s="7" t="str">
        <f t="shared" ref="D40:I40" si="13">IF($C10&gt;$C$33,D10,"")</f>
        <v/>
      </c>
      <c r="E40" s="47" t="str">
        <f t="shared" si="13"/>
        <v/>
      </c>
      <c r="F40" s="7" t="str">
        <f t="shared" si="13"/>
        <v/>
      </c>
      <c r="G40" s="7" t="str">
        <f t="shared" si="13"/>
        <v/>
      </c>
      <c r="H40" s="7" t="str">
        <f t="shared" si="13"/>
        <v/>
      </c>
      <c r="I40" s="7" t="str">
        <f t="shared" si="13"/>
        <v/>
      </c>
      <c r="J40" s="7"/>
      <c r="K40" s="47" t="str">
        <f t="shared" si="3"/>
        <v/>
      </c>
      <c r="L40" s="48" t="b">
        <v>0</v>
      </c>
      <c r="M40" s="7" t="str">
        <f t="shared" ref="M40:U40" si="14">IF($L40=TRUE,C40,"")</f>
        <v/>
      </c>
      <c r="N40" s="7" t="str">
        <f t="shared" si="14"/>
        <v/>
      </c>
      <c r="O40" s="7" t="str">
        <f t="shared" si="14"/>
        <v/>
      </c>
      <c r="P40" s="7" t="str">
        <f t="shared" si="14"/>
        <v/>
      </c>
      <c r="Q40" s="7" t="str">
        <f t="shared" si="14"/>
        <v/>
      </c>
      <c r="R40" s="7" t="str">
        <f t="shared" si="14"/>
        <v/>
      </c>
      <c r="S40" s="7" t="str">
        <f t="shared" si="14"/>
        <v/>
      </c>
      <c r="T40" s="7" t="str">
        <f t="shared" si="14"/>
        <v/>
      </c>
      <c r="U40" s="8" t="str">
        <f t="shared" si="14"/>
        <v/>
      </c>
    </row>
    <row r="41" spans="1:21" ht="13" outlineLevel="1">
      <c r="A41" s="215" t="s">
        <v>39</v>
      </c>
      <c r="B41" s="220" t="s">
        <v>40</v>
      </c>
      <c r="C41" s="21">
        <f t="shared" si="1"/>
        <v>0</v>
      </c>
      <c r="D41" s="7" t="str">
        <f t="shared" ref="D41:I41" si="15">IF($C11&gt;$C$33,D11,"")</f>
        <v/>
      </c>
      <c r="E41" s="47" t="str">
        <f t="shared" si="15"/>
        <v/>
      </c>
      <c r="F41" s="7" t="str">
        <f t="shared" si="15"/>
        <v/>
      </c>
      <c r="G41" s="7" t="str">
        <f t="shared" si="15"/>
        <v/>
      </c>
      <c r="H41" s="7" t="str">
        <f t="shared" si="15"/>
        <v/>
      </c>
      <c r="I41" s="7" t="str">
        <f t="shared" si="15"/>
        <v/>
      </c>
      <c r="J41" s="7"/>
      <c r="K41" s="47" t="str">
        <f t="shared" si="3"/>
        <v/>
      </c>
      <c r="L41" s="49" t="b">
        <v>0</v>
      </c>
      <c r="M41" s="7" t="str">
        <f t="shared" ref="M41:U41" si="16">IF($L41=TRUE,C41,"")</f>
        <v/>
      </c>
      <c r="N41" s="7" t="str">
        <f t="shared" si="16"/>
        <v/>
      </c>
      <c r="O41" s="7" t="str">
        <f t="shared" si="16"/>
        <v/>
      </c>
      <c r="P41" s="7" t="str">
        <f t="shared" si="16"/>
        <v/>
      </c>
      <c r="Q41" s="7" t="str">
        <f t="shared" si="16"/>
        <v/>
      </c>
      <c r="R41" s="7" t="str">
        <f t="shared" si="16"/>
        <v/>
      </c>
      <c r="S41" s="7" t="str">
        <f t="shared" si="16"/>
        <v/>
      </c>
      <c r="T41" s="7" t="str">
        <f t="shared" si="16"/>
        <v/>
      </c>
      <c r="U41" s="8" t="str">
        <f t="shared" si="16"/>
        <v/>
      </c>
    </row>
    <row r="42" spans="1:21" ht="13" outlineLevel="1">
      <c r="A42" s="210"/>
      <c r="B42" s="210"/>
      <c r="C42" s="21">
        <f t="shared" si="1"/>
        <v>0</v>
      </c>
      <c r="D42" s="7" t="str">
        <f t="shared" ref="D42:I42" si="17">IF($C12&gt;$C$33,D12,"")</f>
        <v/>
      </c>
      <c r="E42" s="47" t="str">
        <f t="shared" si="17"/>
        <v/>
      </c>
      <c r="F42" s="7" t="str">
        <f t="shared" si="17"/>
        <v/>
      </c>
      <c r="G42" s="7" t="str">
        <f t="shared" si="17"/>
        <v/>
      </c>
      <c r="H42" s="7" t="str">
        <f t="shared" si="17"/>
        <v/>
      </c>
      <c r="I42" s="7" t="str">
        <f t="shared" si="17"/>
        <v/>
      </c>
      <c r="J42" s="7"/>
      <c r="K42" s="47" t="str">
        <f t="shared" si="3"/>
        <v/>
      </c>
      <c r="L42" s="49" t="b">
        <v>0</v>
      </c>
      <c r="M42" s="7" t="str">
        <f t="shared" ref="M42:U42" si="18">IF($L42=TRUE,C42,"")</f>
        <v/>
      </c>
      <c r="N42" s="7" t="str">
        <f t="shared" si="18"/>
        <v/>
      </c>
      <c r="O42" s="7" t="str">
        <f t="shared" si="18"/>
        <v/>
      </c>
      <c r="P42" s="7" t="str">
        <f t="shared" si="18"/>
        <v/>
      </c>
      <c r="Q42" s="7" t="str">
        <f t="shared" si="18"/>
        <v/>
      </c>
      <c r="R42" s="7" t="str">
        <f t="shared" si="18"/>
        <v/>
      </c>
      <c r="S42" s="7" t="str">
        <f t="shared" si="18"/>
        <v/>
      </c>
      <c r="T42" s="7" t="str">
        <f t="shared" si="18"/>
        <v/>
      </c>
      <c r="U42" s="8" t="str">
        <f t="shared" si="18"/>
        <v/>
      </c>
    </row>
    <row r="43" spans="1:21" ht="62.5" outlineLevel="1">
      <c r="A43" s="210"/>
      <c r="B43" s="210"/>
      <c r="C43" s="21">
        <f t="shared" si="1"/>
        <v>3</v>
      </c>
      <c r="D43" s="7" t="str">
        <f t="shared" ref="D43:I43" si="19">IF($C13&gt;$C$33,D13,"")</f>
        <v>K.G.A.3</v>
      </c>
      <c r="E43" s="47" t="str">
        <f t="shared" si="19"/>
        <v>Identify shapes as two-dimensional (lying in a plane, “flat”) or three dimensional (“solid”).</v>
      </c>
      <c r="F43" s="7" t="b">
        <f t="shared" si="19"/>
        <v>1</v>
      </c>
      <c r="G43" s="7" t="b">
        <f t="shared" si="19"/>
        <v>0</v>
      </c>
      <c r="H43" s="7" t="b">
        <f t="shared" si="19"/>
        <v>1</v>
      </c>
      <c r="I43" s="7" t="b">
        <f t="shared" si="19"/>
        <v>1</v>
      </c>
      <c r="J43" s="7"/>
      <c r="K43" s="47" t="str">
        <f t="shared" si="3"/>
        <v xml:space="preserve">R- Students will use this knowledge to compose larger shapes in the next level of learning
A - this is on the MAP test
L - Art and science </v>
      </c>
      <c r="L43" s="48" t="b">
        <v>0</v>
      </c>
      <c r="M43" s="7" t="str">
        <f t="shared" ref="M43:U43" si="20">IF($L43=TRUE,C43,"")</f>
        <v/>
      </c>
      <c r="N43" s="7" t="str">
        <f t="shared" si="20"/>
        <v/>
      </c>
      <c r="O43" s="7" t="str">
        <f t="shared" si="20"/>
        <v/>
      </c>
      <c r="P43" s="7" t="str">
        <f t="shared" si="20"/>
        <v/>
      </c>
      <c r="Q43" s="7" t="str">
        <f t="shared" si="20"/>
        <v/>
      </c>
      <c r="R43" s="7" t="str">
        <f t="shared" si="20"/>
        <v/>
      </c>
      <c r="S43" s="7" t="str">
        <f t="shared" si="20"/>
        <v/>
      </c>
      <c r="T43" s="7" t="str">
        <f t="shared" si="20"/>
        <v/>
      </c>
      <c r="U43" s="8" t="str">
        <f t="shared" si="20"/>
        <v/>
      </c>
    </row>
    <row r="44" spans="1:21" ht="13" outlineLevel="1">
      <c r="A44" s="210"/>
      <c r="B44" s="211"/>
      <c r="C44" s="27">
        <f t="shared" si="1"/>
        <v>0</v>
      </c>
      <c r="D44" s="7" t="str">
        <f t="shared" ref="D44:I44" si="21">IF($C14&gt;$C$33,D14,"")</f>
        <v/>
      </c>
      <c r="E44" s="47" t="str">
        <f t="shared" si="21"/>
        <v/>
      </c>
      <c r="F44" s="7" t="str">
        <f t="shared" si="21"/>
        <v/>
      </c>
      <c r="G44" s="7" t="str">
        <f t="shared" si="21"/>
        <v/>
      </c>
      <c r="H44" s="7" t="str">
        <f t="shared" si="21"/>
        <v/>
      </c>
      <c r="I44" s="7" t="str">
        <f t="shared" si="21"/>
        <v/>
      </c>
      <c r="J44" s="7"/>
      <c r="K44" s="47" t="str">
        <f t="shared" si="3"/>
        <v/>
      </c>
      <c r="L44" s="48" t="b">
        <v>0</v>
      </c>
      <c r="M44" s="7" t="str">
        <f t="shared" ref="M44:U44" si="22">IF($L44=TRUE,C44,"")</f>
        <v/>
      </c>
      <c r="N44" s="7" t="str">
        <f t="shared" si="22"/>
        <v/>
      </c>
      <c r="O44" s="7" t="str">
        <f t="shared" si="22"/>
        <v/>
      </c>
      <c r="P44" s="7" t="str">
        <f t="shared" si="22"/>
        <v/>
      </c>
      <c r="Q44" s="7" t="str">
        <f t="shared" si="22"/>
        <v/>
      </c>
      <c r="R44" s="7" t="str">
        <f t="shared" si="22"/>
        <v/>
      </c>
      <c r="S44" s="7" t="str">
        <f t="shared" si="22"/>
        <v/>
      </c>
      <c r="T44" s="7" t="str">
        <f t="shared" si="22"/>
        <v/>
      </c>
      <c r="U44" s="8" t="str">
        <f t="shared" si="22"/>
        <v/>
      </c>
    </row>
    <row r="45" spans="1:21" ht="13" outlineLevel="1">
      <c r="A45" s="210"/>
      <c r="B45" s="221" t="s">
        <v>49</v>
      </c>
      <c r="C45" s="21">
        <f t="shared" si="1"/>
        <v>0</v>
      </c>
      <c r="D45" s="7" t="str">
        <f t="shared" ref="D45:I45" si="23">IF($C15&gt;$C$33,D15,"")</f>
        <v/>
      </c>
      <c r="E45" s="47" t="str">
        <f t="shared" si="23"/>
        <v/>
      </c>
      <c r="F45" s="7" t="str">
        <f t="shared" si="23"/>
        <v/>
      </c>
      <c r="G45" s="7" t="str">
        <f t="shared" si="23"/>
        <v/>
      </c>
      <c r="H45" s="7" t="str">
        <f t="shared" si="23"/>
        <v/>
      </c>
      <c r="I45" s="7" t="str">
        <f t="shared" si="23"/>
        <v/>
      </c>
      <c r="J45" s="7"/>
      <c r="K45" s="47" t="str">
        <f t="shared" si="3"/>
        <v/>
      </c>
      <c r="L45" s="49" t="b">
        <v>0</v>
      </c>
      <c r="M45" s="7" t="str">
        <f t="shared" ref="M45:U45" si="24">IF($L45=TRUE,C45,"")</f>
        <v/>
      </c>
      <c r="N45" s="7" t="str">
        <f t="shared" si="24"/>
        <v/>
      </c>
      <c r="O45" s="7" t="str">
        <f t="shared" si="24"/>
        <v/>
      </c>
      <c r="P45" s="7" t="str">
        <f t="shared" si="24"/>
        <v/>
      </c>
      <c r="Q45" s="7" t="str">
        <f t="shared" si="24"/>
        <v/>
      </c>
      <c r="R45" s="7" t="str">
        <f t="shared" si="24"/>
        <v/>
      </c>
      <c r="S45" s="7" t="str">
        <f t="shared" si="24"/>
        <v/>
      </c>
      <c r="T45" s="7" t="str">
        <f t="shared" si="24"/>
        <v/>
      </c>
      <c r="U45" s="8" t="str">
        <f t="shared" si="24"/>
        <v/>
      </c>
    </row>
    <row r="46" spans="1:21" ht="13" outlineLevel="1">
      <c r="A46" s="210"/>
      <c r="B46" s="210"/>
      <c r="C46" s="21">
        <f t="shared" si="1"/>
        <v>0</v>
      </c>
      <c r="D46" s="7" t="str">
        <f t="shared" ref="D46:I46" si="25">IF($C16&gt;$C$33,D16,"")</f>
        <v/>
      </c>
      <c r="E46" s="47" t="str">
        <f t="shared" si="25"/>
        <v/>
      </c>
      <c r="F46" s="7" t="str">
        <f t="shared" si="25"/>
        <v/>
      </c>
      <c r="G46" s="7" t="str">
        <f t="shared" si="25"/>
        <v/>
      </c>
      <c r="H46" s="7" t="str">
        <f t="shared" si="25"/>
        <v/>
      </c>
      <c r="I46" s="7" t="str">
        <f t="shared" si="25"/>
        <v/>
      </c>
      <c r="J46" s="7"/>
      <c r="K46" s="47" t="str">
        <f t="shared" si="3"/>
        <v/>
      </c>
      <c r="L46" s="49" t="b">
        <v>0</v>
      </c>
      <c r="M46" s="7" t="str">
        <f t="shared" ref="M46:U46" si="26">IF($L46=TRUE,C46,"")</f>
        <v/>
      </c>
      <c r="N46" s="7" t="str">
        <f t="shared" si="26"/>
        <v/>
      </c>
      <c r="O46" s="7" t="str">
        <f t="shared" si="26"/>
        <v/>
      </c>
      <c r="P46" s="7" t="str">
        <f t="shared" si="26"/>
        <v/>
      </c>
      <c r="Q46" s="7" t="str">
        <f t="shared" si="26"/>
        <v/>
      </c>
      <c r="R46" s="7" t="str">
        <f t="shared" si="26"/>
        <v/>
      </c>
      <c r="S46" s="7" t="str">
        <f t="shared" si="26"/>
        <v/>
      </c>
      <c r="T46" s="7" t="str">
        <f t="shared" si="26"/>
        <v/>
      </c>
      <c r="U46" s="8" t="str">
        <f t="shared" si="26"/>
        <v/>
      </c>
    </row>
    <row r="47" spans="1:21" ht="13" outlineLevel="1">
      <c r="A47" s="211"/>
      <c r="B47" s="211"/>
      <c r="C47" s="27">
        <f t="shared" si="1"/>
        <v>0</v>
      </c>
      <c r="D47" s="7" t="str">
        <f t="shared" ref="D47:I47" si="27">IF($C17&gt;$C$33,D17,"")</f>
        <v/>
      </c>
      <c r="E47" s="47" t="str">
        <f t="shared" si="27"/>
        <v/>
      </c>
      <c r="F47" s="7" t="str">
        <f t="shared" si="27"/>
        <v/>
      </c>
      <c r="G47" s="7" t="str">
        <f t="shared" si="27"/>
        <v/>
      </c>
      <c r="H47" s="7" t="str">
        <f t="shared" si="27"/>
        <v/>
      </c>
      <c r="I47" s="7" t="str">
        <f t="shared" si="27"/>
        <v/>
      </c>
      <c r="J47" s="7"/>
      <c r="K47" s="47" t="str">
        <f t="shared" si="3"/>
        <v/>
      </c>
      <c r="L47" s="49" t="b">
        <v>0</v>
      </c>
      <c r="M47" s="7" t="str">
        <f t="shared" ref="M47:U47" si="28">IF($L47=TRUE,C47,"")</f>
        <v/>
      </c>
      <c r="N47" s="7" t="str">
        <f t="shared" si="28"/>
        <v/>
      </c>
      <c r="O47" s="7" t="str">
        <f t="shared" si="28"/>
        <v/>
      </c>
      <c r="P47" s="7" t="str">
        <f t="shared" si="28"/>
        <v/>
      </c>
      <c r="Q47" s="7" t="str">
        <f t="shared" si="28"/>
        <v/>
      </c>
      <c r="R47" s="7" t="str">
        <f t="shared" si="28"/>
        <v/>
      </c>
      <c r="S47" s="7" t="str">
        <f t="shared" si="28"/>
        <v/>
      </c>
      <c r="T47" s="7" t="str">
        <f t="shared" si="28"/>
        <v/>
      </c>
      <c r="U47" s="8" t="str">
        <f t="shared" si="28"/>
        <v/>
      </c>
    </row>
    <row r="48" spans="1:21" ht="50" outlineLevel="1">
      <c r="A48" s="222" t="s">
        <v>57</v>
      </c>
      <c r="B48" s="223" t="s">
        <v>58</v>
      </c>
      <c r="C48" s="21">
        <f t="shared" si="1"/>
        <v>3</v>
      </c>
      <c r="D48" s="7" t="str">
        <f t="shared" ref="D48:I48" si="29">IF($C18&gt;$C$33,D18,"")</f>
        <v>K.MD.A.1</v>
      </c>
      <c r="E48" s="47" t="str">
        <f t="shared" si="29"/>
        <v>Describe measurable attributes of objects, such as length or weight. Describe several measurable attributes of a single object.</v>
      </c>
      <c r="F48" s="7" t="b">
        <f t="shared" si="29"/>
        <v>0</v>
      </c>
      <c r="G48" s="7" t="b">
        <f t="shared" si="29"/>
        <v>1</v>
      </c>
      <c r="H48" s="7" t="b">
        <f t="shared" si="29"/>
        <v>1</v>
      </c>
      <c r="I48" s="7" t="b">
        <f t="shared" si="29"/>
        <v>1</v>
      </c>
      <c r="J48" s="7"/>
      <c r="K48" s="47" t="str">
        <f t="shared" si="3"/>
        <v>E- students will use this language in everyday life
A- MAP test
L- it will be used in science</v>
      </c>
      <c r="L48" s="49" t="b">
        <v>0</v>
      </c>
      <c r="M48" s="7" t="str">
        <f t="shared" ref="M48:U48" si="30">IF($L48=TRUE,C48,"")</f>
        <v/>
      </c>
      <c r="N48" s="7" t="str">
        <f t="shared" si="30"/>
        <v/>
      </c>
      <c r="O48" s="7" t="str">
        <f t="shared" si="30"/>
        <v/>
      </c>
      <c r="P48" s="7" t="str">
        <f t="shared" si="30"/>
        <v/>
      </c>
      <c r="Q48" s="7" t="str">
        <f t="shared" si="30"/>
        <v/>
      </c>
      <c r="R48" s="7" t="str">
        <f t="shared" si="30"/>
        <v/>
      </c>
      <c r="S48" s="7" t="str">
        <f t="shared" si="30"/>
        <v/>
      </c>
      <c r="T48" s="7" t="str">
        <f t="shared" si="30"/>
        <v/>
      </c>
      <c r="U48" s="8" t="str">
        <f t="shared" si="30"/>
        <v/>
      </c>
    </row>
    <row r="49" spans="1:21" ht="62.5" outlineLevel="1">
      <c r="A49" s="210"/>
      <c r="B49" s="211"/>
      <c r="C49" s="27">
        <f t="shared" si="1"/>
        <v>3</v>
      </c>
      <c r="D49" s="7" t="str">
        <f t="shared" ref="D49:I49" si="31">IF($C19&gt;$C$33,D19,"")</f>
        <v>K.MD.A.2</v>
      </c>
      <c r="E49" s="47" t="str">
        <f t="shared" si="31"/>
        <v>Directly compare two objects with a measurable attribute in common, to see which object has “more of”/“less of” the attribute, and describe the difference. For example, directly compare the heights of two children and describe one child as taller/ shorter.</v>
      </c>
      <c r="F49" s="7" t="b">
        <f t="shared" si="31"/>
        <v>0</v>
      </c>
      <c r="G49" s="7" t="b">
        <f t="shared" si="31"/>
        <v>1</v>
      </c>
      <c r="H49" s="7" t="b">
        <f t="shared" si="31"/>
        <v>1</v>
      </c>
      <c r="I49" s="7" t="b">
        <f t="shared" si="31"/>
        <v>1</v>
      </c>
      <c r="J49" s="7"/>
      <c r="K49" s="47" t="str">
        <f t="shared" si="3"/>
        <v>E- students will use this language in everyday life
A- MAP test
L- it will be used in science</v>
      </c>
      <c r="L49" s="49" t="b">
        <v>0</v>
      </c>
      <c r="M49" s="7" t="str">
        <f t="shared" ref="M49:U49" si="32">IF($L49=TRUE,C49,"")</f>
        <v/>
      </c>
      <c r="N49" s="7" t="str">
        <f t="shared" si="32"/>
        <v/>
      </c>
      <c r="O49" s="7" t="str">
        <f t="shared" si="32"/>
        <v/>
      </c>
      <c r="P49" s="7" t="str">
        <f t="shared" si="32"/>
        <v/>
      </c>
      <c r="Q49" s="7" t="str">
        <f t="shared" si="32"/>
        <v/>
      </c>
      <c r="R49" s="7" t="str">
        <f t="shared" si="32"/>
        <v/>
      </c>
      <c r="S49" s="7" t="str">
        <f t="shared" si="32"/>
        <v/>
      </c>
      <c r="T49" s="7" t="str">
        <f t="shared" si="32"/>
        <v/>
      </c>
      <c r="U49" s="8" t="str">
        <f t="shared" si="32"/>
        <v/>
      </c>
    </row>
    <row r="50" spans="1:21" ht="62.5" outlineLevel="1">
      <c r="A50" s="211"/>
      <c r="B50" s="31" t="s">
        <v>64</v>
      </c>
      <c r="C50" s="27">
        <f t="shared" si="1"/>
        <v>0</v>
      </c>
      <c r="D50" s="7" t="str">
        <f t="shared" ref="D50:I50" si="33">IF($C20&gt;$C$33,D20,"")</f>
        <v/>
      </c>
      <c r="E50" s="47" t="str">
        <f t="shared" si="33"/>
        <v/>
      </c>
      <c r="F50" s="7" t="str">
        <f t="shared" si="33"/>
        <v/>
      </c>
      <c r="G50" s="7" t="str">
        <f t="shared" si="33"/>
        <v/>
      </c>
      <c r="H50" s="7" t="str">
        <f t="shared" si="33"/>
        <v/>
      </c>
      <c r="I50" s="7" t="str">
        <f t="shared" si="33"/>
        <v/>
      </c>
      <c r="J50" s="7"/>
      <c r="K50" s="47" t="str">
        <f t="shared" si="3"/>
        <v/>
      </c>
      <c r="L50" s="48" t="b">
        <v>0</v>
      </c>
      <c r="M50" s="7" t="str">
        <f t="shared" ref="M50:U50" si="34">IF($L50=TRUE,C50,"")</f>
        <v/>
      </c>
      <c r="N50" s="7" t="str">
        <f t="shared" si="34"/>
        <v/>
      </c>
      <c r="O50" s="7" t="str">
        <f t="shared" si="34"/>
        <v/>
      </c>
      <c r="P50" s="7" t="str">
        <f t="shared" si="34"/>
        <v/>
      </c>
      <c r="Q50" s="7" t="str">
        <f t="shared" si="34"/>
        <v/>
      </c>
      <c r="R50" s="7" t="str">
        <f t="shared" si="34"/>
        <v/>
      </c>
      <c r="S50" s="7" t="str">
        <f t="shared" si="34"/>
        <v/>
      </c>
      <c r="T50" s="7" t="str">
        <f t="shared" si="34"/>
        <v/>
      </c>
      <c r="U50" s="8" t="str">
        <f t="shared" si="34"/>
        <v/>
      </c>
    </row>
    <row r="51" spans="1:21" ht="87.5" outlineLevel="1">
      <c r="A51" s="224" t="s">
        <v>68</v>
      </c>
      <c r="B51" s="225" t="s">
        <v>69</v>
      </c>
      <c r="C51" s="21">
        <f t="shared" si="1"/>
        <v>4</v>
      </c>
      <c r="D51" s="7" t="str">
        <f t="shared" ref="D51:I51" si="35">IF($C21&gt;$C$33,D21,"")</f>
        <v>K.CC.A.1</v>
      </c>
      <c r="E51" s="47" t="str">
        <f t="shared" si="35"/>
        <v>Count to 100 by ones and by tens.</v>
      </c>
      <c r="F51" s="7" t="b">
        <f t="shared" si="35"/>
        <v>1</v>
      </c>
      <c r="G51" s="7" t="b">
        <f t="shared" si="35"/>
        <v>1</v>
      </c>
      <c r="H51" s="7" t="b">
        <f t="shared" si="35"/>
        <v>1</v>
      </c>
      <c r="I51" s="7" t="b">
        <f t="shared" si="35"/>
        <v>1</v>
      </c>
      <c r="J51" s="7"/>
      <c r="K51" s="47" t="str">
        <f t="shared" si="3"/>
        <v xml:space="preserve">R- students will need to count to 120 in 1st grade.
E- They will need to use it for multiplication later on
A- Assessed on MAP
L- they may need to count data in science by 1's or 10's
</v>
      </c>
      <c r="L51" s="48" t="b">
        <v>1</v>
      </c>
      <c r="M51" s="7">
        <f t="shared" ref="M51:U51" si="36">IF($L51=TRUE,C51,"")</f>
        <v>4</v>
      </c>
      <c r="N51" s="7" t="str">
        <f t="shared" si="36"/>
        <v>K.CC.A.1</v>
      </c>
      <c r="O51" s="7" t="str">
        <f t="shared" si="36"/>
        <v>Count to 100 by ones and by tens.</v>
      </c>
      <c r="P51" s="7" t="b">
        <f t="shared" si="36"/>
        <v>1</v>
      </c>
      <c r="Q51" s="7" t="b">
        <f t="shared" si="36"/>
        <v>1</v>
      </c>
      <c r="R51" s="7" t="b">
        <f t="shared" si="36"/>
        <v>1</v>
      </c>
      <c r="S51" s="7" t="b">
        <f t="shared" si="36"/>
        <v>1</v>
      </c>
      <c r="T51" s="7">
        <f t="shared" si="36"/>
        <v>0</v>
      </c>
      <c r="U51" s="8" t="str">
        <f t="shared" si="36"/>
        <v xml:space="preserve">R- students will need to count to 120 in 1st grade.
E- They will need to use it for multiplication later on
A- Assessed on MAP
L- they may need to count data in science by 1's or 10's
</v>
      </c>
    </row>
    <row r="52" spans="1:21" ht="13" outlineLevel="1">
      <c r="A52" s="210"/>
      <c r="B52" s="210"/>
      <c r="C52" s="21">
        <f t="shared" si="1"/>
        <v>0</v>
      </c>
      <c r="D52" s="7" t="str">
        <f t="shared" ref="D52:I52" si="37">IF($C22&gt;$C$33,D22,"")</f>
        <v/>
      </c>
      <c r="E52" s="47" t="str">
        <f t="shared" si="37"/>
        <v/>
      </c>
      <c r="F52" s="7" t="str">
        <f t="shared" si="37"/>
        <v/>
      </c>
      <c r="G52" s="7" t="str">
        <f t="shared" si="37"/>
        <v/>
      </c>
      <c r="H52" s="7" t="str">
        <f t="shared" si="37"/>
        <v/>
      </c>
      <c r="I52" s="7" t="str">
        <f t="shared" si="37"/>
        <v/>
      </c>
      <c r="J52" s="7"/>
      <c r="K52" s="47" t="str">
        <f t="shared" si="3"/>
        <v/>
      </c>
      <c r="L52" s="49" t="b">
        <v>0</v>
      </c>
      <c r="M52" s="7" t="str">
        <f t="shared" ref="M52:U52" si="38">IF($L52=TRUE,C52,"")</f>
        <v/>
      </c>
      <c r="N52" s="7" t="str">
        <f t="shared" si="38"/>
        <v/>
      </c>
      <c r="O52" s="7" t="str">
        <f t="shared" si="38"/>
        <v/>
      </c>
      <c r="P52" s="7" t="str">
        <f t="shared" si="38"/>
        <v/>
      </c>
      <c r="Q52" s="7" t="str">
        <f t="shared" si="38"/>
        <v/>
      </c>
      <c r="R52" s="7" t="str">
        <f t="shared" si="38"/>
        <v/>
      </c>
      <c r="S52" s="7" t="str">
        <f t="shared" si="38"/>
        <v/>
      </c>
      <c r="T52" s="7" t="str">
        <f t="shared" si="38"/>
        <v/>
      </c>
      <c r="U52" s="8" t="str">
        <f t="shared" si="38"/>
        <v/>
      </c>
    </row>
    <row r="53" spans="1:21" ht="75" outlineLevel="1">
      <c r="A53" s="210"/>
      <c r="B53" s="211"/>
      <c r="C53" s="27">
        <f t="shared" si="1"/>
        <v>4</v>
      </c>
      <c r="D53" s="7" t="str">
        <f t="shared" ref="D53:I53" si="39">IF($C23&gt;$C$33,D23,"")</f>
        <v>K.CC.A.3</v>
      </c>
      <c r="E53" s="47" t="str">
        <f t="shared" si="39"/>
        <v>Write numbers from 0 to 20. Represent a number of objects with a written numeral 0–20 (with 0 representing a count of no objects).</v>
      </c>
      <c r="F53" s="7" t="b">
        <f t="shared" si="39"/>
        <v>1</v>
      </c>
      <c r="G53" s="7" t="b">
        <f t="shared" si="39"/>
        <v>1</v>
      </c>
      <c r="H53" s="7" t="b">
        <f t="shared" si="39"/>
        <v>1</v>
      </c>
      <c r="I53" s="7" t="b">
        <f t="shared" si="39"/>
        <v>1</v>
      </c>
      <c r="J53" s="7"/>
      <c r="K53" s="47" t="str">
        <f t="shared" si="3"/>
        <v>R- students will write numbers further than 20 
E- writing numbers occurs in reading, science, and writing
A- recognizing numbers occurs on MAP
L- Number are everywhere, and they can use them across many subjects!</v>
      </c>
      <c r="L53" s="48" t="b">
        <v>1</v>
      </c>
      <c r="M53" s="7">
        <f t="shared" ref="M53:U53" si="40">IF($L53=TRUE,C53,"")</f>
        <v>4</v>
      </c>
      <c r="N53" s="7" t="str">
        <f t="shared" si="40"/>
        <v>K.CC.A.3</v>
      </c>
      <c r="O53" s="7" t="str">
        <f t="shared" si="40"/>
        <v>Write numbers from 0 to 20. Represent a number of objects with a written numeral 0–20 (with 0 representing a count of no objects).</v>
      </c>
      <c r="P53" s="7" t="b">
        <f t="shared" si="40"/>
        <v>1</v>
      </c>
      <c r="Q53" s="7" t="b">
        <f t="shared" si="40"/>
        <v>1</v>
      </c>
      <c r="R53" s="7" t="b">
        <f t="shared" si="40"/>
        <v>1</v>
      </c>
      <c r="S53" s="7" t="b">
        <f t="shared" si="40"/>
        <v>1</v>
      </c>
      <c r="T53" s="7">
        <f t="shared" si="40"/>
        <v>0</v>
      </c>
      <c r="U53" s="8" t="str">
        <f t="shared" si="40"/>
        <v>R- students will write numbers further than 20 
E- writing numbers occurs in reading, science, and writing
A- recognizing numbers occurs on MAP
L- Number are everywhere, and they can use them across many subjects!</v>
      </c>
    </row>
    <row r="54" spans="1:21" ht="75" outlineLevel="1">
      <c r="A54" s="210"/>
      <c r="B54" s="226" t="s">
        <v>79</v>
      </c>
      <c r="C54" s="21">
        <f t="shared" si="1"/>
        <v>3</v>
      </c>
      <c r="D54" s="7" t="str">
        <f t="shared" ref="D54:I54" si="41">IF($C24&gt;$C$33,D24,"")</f>
        <v>K.CC.B.4</v>
      </c>
      <c r="E54" s="47" t="str">
        <f t="shared" si="41"/>
        <v>Understand the relationship between numbers and quantities; connect counting to cardinality.</v>
      </c>
      <c r="F54" s="7" t="b">
        <f t="shared" si="41"/>
        <v>1</v>
      </c>
      <c r="G54" s="7" t="b">
        <f t="shared" si="41"/>
        <v>1</v>
      </c>
      <c r="H54" s="7" t="b">
        <f t="shared" si="41"/>
        <v>0</v>
      </c>
      <c r="I54" s="7" t="b">
        <f t="shared" si="41"/>
        <v>1</v>
      </c>
      <c r="J54" s="7"/>
      <c r="K54" s="47" t="str">
        <f t="shared" si="3"/>
        <v xml:space="preserve">R- students will not be able to be successful in any area of math unless they master this concept. 
E- students will be counting 1:1 during their whole math career.
L- they will use this in all content areas. </v>
      </c>
      <c r="L54" s="48" t="b">
        <v>0</v>
      </c>
      <c r="M54" s="7" t="str">
        <f t="shared" ref="M54:U54" si="42">IF($L54=TRUE,C54,"")</f>
        <v/>
      </c>
      <c r="N54" s="7" t="str">
        <f t="shared" si="42"/>
        <v/>
      </c>
      <c r="O54" s="7" t="str">
        <f t="shared" si="42"/>
        <v/>
      </c>
      <c r="P54" s="7" t="str">
        <f t="shared" si="42"/>
        <v/>
      </c>
      <c r="Q54" s="7" t="str">
        <f t="shared" si="42"/>
        <v/>
      </c>
      <c r="R54" s="7" t="str">
        <f t="shared" si="42"/>
        <v/>
      </c>
      <c r="S54" s="7" t="str">
        <f t="shared" si="42"/>
        <v/>
      </c>
      <c r="T54" s="7" t="str">
        <f t="shared" si="42"/>
        <v/>
      </c>
      <c r="U54" s="8" t="str">
        <f t="shared" si="42"/>
        <v/>
      </c>
    </row>
    <row r="55" spans="1:21" ht="87.5" outlineLevel="1">
      <c r="A55" s="210"/>
      <c r="B55" s="210"/>
      <c r="C55" s="21">
        <f t="shared" si="1"/>
        <v>4</v>
      </c>
      <c r="D55" s="7" t="str">
        <f t="shared" ref="D55:I55" si="43">IF($C25&gt;$C$33,D25,"")</f>
        <v>K.CC.B.4a</v>
      </c>
      <c r="E55" s="47" t="str">
        <f t="shared" si="43"/>
        <v>When counting objects, say the number names in the standard order, pairing each object with one and only one number name and each number name with one and only one object.</v>
      </c>
      <c r="F55" s="7" t="b">
        <f t="shared" si="43"/>
        <v>1</v>
      </c>
      <c r="G55" s="7" t="b">
        <f t="shared" si="43"/>
        <v>1</v>
      </c>
      <c r="H55" s="7" t="b">
        <f t="shared" si="43"/>
        <v>1</v>
      </c>
      <c r="I55" s="7" t="b">
        <f t="shared" si="43"/>
        <v>1</v>
      </c>
      <c r="J55" s="7"/>
      <c r="K55" s="47" t="str">
        <f t="shared" si="3"/>
        <v xml:space="preserve">R- students will not be able to be successful in any area of math unless they master this concept. 
E- students will be counting 1:1 during their whole math career.
A- assessed on MAP 
L- they will use this in all content areas. </v>
      </c>
      <c r="L55" s="48" t="b">
        <v>1</v>
      </c>
      <c r="M55" s="7">
        <f t="shared" ref="M55:U55" si="44">IF($L55=TRUE,C55,"")</f>
        <v>4</v>
      </c>
      <c r="N55" s="7" t="str">
        <f t="shared" si="44"/>
        <v>K.CC.B.4a</v>
      </c>
      <c r="O55" s="7" t="str">
        <f t="shared" si="44"/>
        <v>When counting objects, say the number names in the standard order, pairing each object with one and only one number name and each number name with one and only one object.</v>
      </c>
      <c r="P55" s="7" t="b">
        <f t="shared" si="44"/>
        <v>1</v>
      </c>
      <c r="Q55" s="7" t="b">
        <f t="shared" si="44"/>
        <v>1</v>
      </c>
      <c r="R55" s="7" t="b">
        <f t="shared" si="44"/>
        <v>1</v>
      </c>
      <c r="S55" s="7" t="b">
        <f t="shared" si="44"/>
        <v>1</v>
      </c>
      <c r="T55" s="7">
        <f t="shared" si="44"/>
        <v>0</v>
      </c>
      <c r="U55" s="8" t="str">
        <f t="shared" si="44"/>
        <v xml:space="preserve">R- students will not be able to be successful in any area of math unless they master this concept. 
E- students will be counting 1:1 during their whole math career.
A- assessed on MAP 
L- they will use this in all content areas. </v>
      </c>
    </row>
    <row r="56" spans="1:21" ht="13" outlineLevel="1">
      <c r="A56" s="210"/>
      <c r="B56" s="210"/>
      <c r="C56" s="21">
        <f t="shared" si="1"/>
        <v>0</v>
      </c>
      <c r="D56" s="7" t="str">
        <f t="shared" ref="D56:I56" si="45">IF($C26&gt;$C$33,D26,"")</f>
        <v/>
      </c>
      <c r="E56" s="47" t="str">
        <f t="shared" si="45"/>
        <v/>
      </c>
      <c r="F56" s="7" t="str">
        <f t="shared" si="45"/>
        <v/>
      </c>
      <c r="G56" s="7" t="str">
        <f t="shared" si="45"/>
        <v/>
      </c>
      <c r="H56" s="7" t="str">
        <f t="shared" si="45"/>
        <v/>
      </c>
      <c r="I56" s="7" t="str">
        <f t="shared" si="45"/>
        <v/>
      </c>
      <c r="J56" s="7"/>
      <c r="K56" s="47" t="str">
        <f t="shared" si="3"/>
        <v/>
      </c>
      <c r="L56" s="48" t="b">
        <v>0</v>
      </c>
      <c r="M56" s="7" t="str">
        <f t="shared" ref="M56:U56" si="46">IF($L56=TRUE,C56,"")</f>
        <v/>
      </c>
      <c r="N56" s="7" t="str">
        <f t="shared" si="46"/>
        <v/>
      </c>
      <c r="O56" s="7" t="str">
        <f t="shared" si="46"/>
        <v/>
      </c>
      <c r="P56" s="7" t="str">
        <f t="shared" si="46"/>
        <v/>
      </c>
      <c r="Q56" s="7" t="str">
        <f t="shared" si="46"/>
        <v/>
      </c>
      <c r="R56" s="7" t="str">
        <f t="shared" si="46"/>
        <v/>
      </c>
      <c r="S56" s="7" t="str">
        <f t="shared" si="46"/>
        <v/>
      </c>
      <c r="T56" s="7" t="str">
        <f t="shared" si="46"/>
        <v/>
      </c>
      <c r="U56" s="8" t="str">
        <f t="shared" si="46"/>
        <v/>
      </c>
    </row>
    <row r="57" spans="1:21" ht="13" outlineLevel="1">
      <c r="A57" s="210"/>
      <c r="B57" s="210"/>
      <c r="C57" s="21">
        <f t="shared" si="1"/>
        <v>0</v>
      </c>
      <c r="D57" s="7" t="str">
        <f t="shared" ref="D57:I57" si="47">IF($C27&gt;$C$33,D27,"")</f>
        <v/>
      </c>
      <c r="E57" s="47" t="str">
        <f t="shared" si="47"/>
        <v/>
      </c>
      <c r="F57" s="7" t="str">
        <f t="shared" si="47"/>
        <v/>
      </c>
      <c r="G57" s="7" t="str">
        <f t="shared" si="47"/>
        <v/>
      </c>
      <c r="H57" s="7" t="str">
        <f t="shared" si="47"/>
        <v/>
      </c>
      <c r="I57" s="7" t="str">
        <f t="shared" si="47"/>
        <v/>
      </c>
      <c r="J57" s="7"/>
      <c r="K57" s="47" t="str">
        <f t="shared" si="3"/>
        <v/>
      </c>
      <c r="L57" s="49" t="b">
        <v>0</v>
      </c>
      <c r="M57" s="7" t="str">
        <f t="shared" ref="M57:U57" si="48">IF($L57=TRUE,C57,"")</f>
        <v/>
      </c>
      <c r="N57" s="7" t="str">
        <f t="shared" si="48"/>
        <v/>
      </c>
      <c r="O57" s="7" t="str">
        <f t="shared" si="48"/>
        <v/>
      </c>
      <c r="P57" s="7" t="str">
        <f t="shared" si="48"/>
        <v/>
      </c>
      <c r="Q57" s="7" t="str">
        <f t="shared" si="48"/>
        <v/>
      </c>
      <c r="R57" s="7" t="str">
        <f t="shared" si="48"/>
        <v/>
      </c>
      <c r="S57" s="7" t="str">
        <f t="shared" si="48"/>
        <v/>
      </c>
      <c r="T57" s="7" t="str">
        <f t="shared" si="48"/>
        <v/>
      </c>
      <c r="U57" s="8" t="str">
        <f t="shared" si="48"/>
        <v/>
      </c>
    </row>
    <row r="58" spans="1:21" ht="87.5" outlineLevel="1">
      <c r="A58" s="210"/>
      <c r="B58" s="211"/>
      <c r="C58" s="27">
        <f t="shared" si="1"/>
        <v>4</v>
      </c>
      <c r="D58" s="7" t="str">
        <f t="shared" ref="D58:I58" si="49">IF($C28&gt;$C$33,D28,"")</f>
        <v>K.CC.B.5</v>
      </c>
      <c r="E58" s="47" t="str">
        <f t="shared" si="49"/>
        <v>Count to answer “how many?” questions about as many as 20 things arranged in a line, a rectangular array, or a circle, or as many as 10 things in a scattered configuration; given a number from 1–20, count out that many objects.</v>
      </c>
      <c r="F58" s="7" t="b">
        <f t="shared" si="49"/>
        <v>1</v>
      </c>
      <c r="G58" s="7" t="b">
        <f t="shared" si="49"/>
        <v>1</v>
      </c>
      <c r="H58" s="7" t="b">
        <f t="shared" si="49"/>
        <v>1</v>
      </c>
      <c r="I58" s="7" t="b">
        <f t="shared" si="49"/>
        <v>1</v>
      </c>
      <c r="J58" s="7"/>
      <c r="K58" s="47" t="str">
        <f t="shared" si="3"/>
        <v xml:space="preserve">R- students will not be able to be successful in any area of math unless they master this concept. 
E- students will be counting throughout their math career. 
A- assessed on MAP 
L- they will use this in all content areas. </v>
      </c>
      <c r="L58" s="49" t="b">
        <v>0</v>
      </c>
      <c r="M58" s="7" t="str">
        <f t="shared" ref="M58:U58" si="50">IF($L58=TRUE,C58,"")</f>
        <v/>
      </c>
      <c r="N58" s="7" t="str">
        <f t="shared" si="50"/>
        <v/>
      </c>
      <c r="O58" s="7" t="str">
        <f t="shared" si="50"/>
        <v/>
      </c>
      <c r="P58" s="7" t="str">
        <f t="shared" si="50"/>
        <v/>
      </c>
      <c r="Q58" s="7" t="str">
        <f t="shared" si="50"/>
        <v/>
      </c>
      <c r="R58" s="7" t="str">
        <f t="shared" si="50"/>
        <v/>
      </c>
      <c r="S58" s="7" t="str">
        <f t="shared" si="50"/>
        <v/>
      </c>
      <c r="T58" s="7" t="str">
        <f t="shared" si="50"/>
        <v/>
      </c>
      <c r="U58" s="8" t="str">
        <f t="shared" si="50"/>
        <v/>
      </c>
    </row>
    <row r="59" spans="1:21" ht="13" outlineLevel="1">
      <c r="A59" s="210"/>
      <c r="B59" s="216" t="s">
        <v>95</v>
      </c>
      <c r="C59" s="21">
        <f t="shared" si="1"/>
        <v>0</v>
      </c>
      <c r="D59" s="7" t="str">
        <f t="shared" ref="D59:I59" si="51">IF($C29&gt;$C$33,D29,"")</f>
        <v/>
      </c>
      <c r="E59" s="47" t="str">
        <f t="shared" si="51"/>
        <v/>
      </c>
      <c r="F59" s="7" t="str">
        <f t="shared" si="51"/>
        <v/>
      </c>
      <c r="G59" s="7" t="str">
        <f t="shared" si="51"/>
        <v/>
      </c>
      <c r="H59" s="7" t="str">
        <f t="shared" si="51"/>
        <v/>
      </c>
      <c r="I59" s="7" t="str">
        <f t="shared" si="51"/>
        <v/>
      </c>
      <c r="J59" s="7"/>
      <c r="K59" s="47" t="str">
        <f t="shared" si="3"/>
        <v/>
      </c>
      <c r="L59" s="49" t="b">
        <v>0</v>
      </c>
      <c r="M59" s="7" t="str">
        <f t="shared" ref="M59:U59" si="52">IF($L59=TRUE,C59,"")</f>
        <v/>
      </c>
      <c r="N59" s="7" t="str">
        <f t="shared" si="52"/>
        <v/>
      </c>
      <c r="O59" s="7" t="str">
        <f t="shared" si="52"/>
        <v/>
      </c>
      <c r="P59" s="7" t="str">
        <f t="shared" si="52"/>
        <v/>
      </c>
      <c r="Q59" s="7" t="str">
        <f t="shared" si="52"/>
        <v/>
      </c>
      <c r="R59" s="7" t="str">
        <f t="shared" si="52"/>
        <v/>
      </c>
      <c r="S59" s="7" t="str">
        <f t="shared" si="52"/>
        <v/>
      </c>
      <c r="T59" s="7" t="str">
        <f t="shared" si="52"/>
        <v/>
      </c>
      <c r="U59" s="8" t="str">
        <f t="shared" si="52"/>
        <v/>
      </c>
    </row>
    <row r="60" spans="1:21" ht="13" outlineLevel="1">
      <c r="A60" s="211"/>
      <c r="B60" s="211"/>
      <c r="C60" s="21">
        <f t="shared" si="1"/>
        <v>0</v>
      </c>
      <c r="D60" s="7" t="str">
        <f t="shared" ref="D60:I60" si="53">IF($C30&gt;$C$33,D30,"")</f>
        <v/>
      </c>
      <c r="E60" s="47" t="str">
        <f t="shared" si="53"/>
        <v/>
      </c>
      <c r="F60" s="7" t="str">
        <f t="shared" si="53"/>
        <v/>
      </c>
      <c r="G60" s="7" t="str">
        <f t="shared" si="53"/>
        <v/>
      </c>
      <c r="H60" s="7" t="str">
        <f t="shared" si="53"/>
        <v/>
      </c>
      <c r="I60" s="7" t="str">
        <f t="shared" si="53"/>
        <v/>
      </c>
      <c r="J60" s="7"/>
      <c r="K60" s="47" t="str">
        <f t="shared" si="3"/>
        <v/>
      </c>
      <c r="L60" s="48" t="b">
        <v>0</v>
      </c>
      <c r="M60" s="7" t="str">
        <f t="shared" ref="M60:U60" si="54">IF($L60=TRUE,C60,"")</f>
        <v/>
      </c>
      <c r="N60" s="7" t="str">
        <f t="shared" si="54"/>
        <v/>
      </c>
      <c r="O60" s="7" t="str">
        <f t="shared" si="54"/>
        <v/>
      </c>
      <c r="P60" s="7" t="str">
        <f t="shared" si="54"/>
        <v/>
      </c>
      <c r="Q60" s="7" t="str">
        <f t="shared" si="54"/>
        <v/>
      </c>
      <c r="R60" s="7" t="str">
        <f t="shared" si="54"/>
        <v/>
      </c>
      <c r="S60" s="7" t="str">
        <f t="shared" si="54"/>
        <v/>
      </c>
      <c r="T60" s="7" t="str">
        <f t="shared" si="54"/>
        <v/>
      </c>
      <c r="U60" s="8" t="str">
        <f t="shared" si="54"/>
        <v/>
      </c>
    </row>
  </sheetData>
  <mergeCells count="30">
    <mergeCell ref="B59:B60"/>
    <mergeCell ref="A33:B33"/>
    <mergeCell ref="A34:B34"/>
    <mergeCell ref="A36:A40"/>
    <mergeCell ref="B36:B40"/>
    <mergeCell ref="A41:A47"/>
    <mergeCell ref="B41:B44"/>
    <mergeCell ref="A51:A60"/>
    <mergeCell ref="B45:B47"/>
    <mergeCell ref="B48:B49"/>
    <mergeCell ref="A48:A50"/>
    <mergeCell ref="B51:B53"/>
    <mergeCell ref="B54:B58"/>
    <mergeCell ref="A11:A17"/>
    <mergeCell ref="B29:B30"/>
    <mergeCell ref="A32:B32"/>
    <mergeCell ref="F32:G32"/>
    <mergeCell ref="B11:B14"/>
    <mergeCell ref="B15:B17"/>
    <mergeCell ref="A18:A20"/>
    <mergeCell ref="B18:B19"/>
    <mergeCell ref="A21:A30"/>
    <mergeCell ref="B21:B23"/>
    <mergeCell ref="B24:B28"/>
    <mergeCell ref="A2:B2"/>
    <mergeCell ref="C2:K2"/>
    <mergeCell ref="A3:K3"/>
    <mergeCell ref="A4:B4"/>
    <mergeCell ref="A6:A10"/>
    <mergeCell ref="B6:B10"/>
  </mergeCells>
  <conditionalFormatting sqref="D32">
    <cfRule type="expression" dxfId="69" priority="1">
      <formula>D32&lt;=K32</formula>
    </cfRule>
  </conditionalFormatting>
  <conditionalFormatting sqref="D32">
    <cfRule type="expression" dxfId="68" priority="2">
      <formula>D32&gt;K32</formula>
    </cfRule>
  </conditionalFormatting>
  <conditionalFormatting sqref="C5:C30 C35:C60">
    <cfRule type="cellIs" dxfId="67" priority="3" operator="equal">
      <formula>0</formula>
    </cfRule>
  </conditionalFormatting>
  <conditionalFormatting sqref="C5:C30 C35:C60">
    <cfRule type="cellIs" dxfId="66" priority="4" operator="equal">
      <formula>1</formula>
    </cfRule>
  </conditionalFormatting>
  <conditionalFormatting sqref="C5:C30 C35:C60">
    <cfRule type="cellIs" dxfId="65" priority="5" operator="equal">
      <formula>2</formula>
    </cfRule>
  </conditionalFormatting>
  <conditionalFormatting sqref="C5:C30 C35:C60">
    <cfRule type="cellIs" dxfId="64" priority="6" operator="equal">
      <formula>3</formula>
    </cfRule>
  </conditionalFormatting>
  <conditionalFormatting sqref="C5:C30 C35:C60">
    <cfRule type="cellIs" dxfId="63" priority="7" operator="equal">
      <formula>4</formula>
    </cfRule>
  </conditionalFormatting>
  <conditionalFormatting sqref="L35:L60">
    <cfRule type="expression" dxfId="62" priority="8">
      <formula>not</formula>
    </cfRule>
  </conditionalFormatting>
  <conditionalFormatting sqref="F35:I60">
    <cfRule type="cellIs" dxfId="61" priority="9" operator="equal">
      <formula>"TRUE"</formula>
    </cfRule>
  </conditionalFormatting>
  <conditionalFormatting sqref="F35:I60">
    <cfRule type="cellIs" dxfId="60" priority="10" operator="equal">
      <formula>"FALSE"</formula>
    </cfRule>
  </conditionalFormatting>
  <printOptions horizontalCentered="1" gridLines="1"/>
  <pageMargins left="0.7" right="0.7" top="0.75" bottom="0.75" header="0" footer="0"/>
  <pageSetup fitToHeight="0" pageOrder="overThenDown" orientation="landscape" cellComments="atEnd"/>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9CB9C"/>
    <outlinePr summaryBelow="0" summaryRight="0"/>
    <pageSetUpPr fitToPage="1"/>
  </sheetPr>
  <dimension ref="A1:U56"/>
  <sheetViews>
    <sheetView workbookViewId="0">
      <pane ySplit="4" topLeftCell="A5" activePane="bottomLeft" state="frozen"/>
      <selection pane="bottomLeft" activeCell="B6" sqref="B6"/>
    </sheetView>
  </sheetViews>
  <sheetFormatPr defaultColWidth="12.6328125" defaultRowHeight="15.75" customHeight="1" outlineLevelRow="1" outlineLevelCol="1"/>
  <cols>
    <col min="1" max="1" width="4.453125" customWidth="1"/>
    <col min="2" max="2" width="13.90625" customWidth="1"/>
    <col min="3" max="3" width="4.453125" customWidth="1"/>
    <col min="4" max="4" width="9.453125" customWidth="1"/>
    <col min="5" max="5" width="50.08984375" customWidth="1"/>
    <col min="6" max="9" width="2.6328125" customWidth="1"/>
    <col min="10" max="10" width="0.7265625" customWidth="1"/>
    <col min="11" max="11" width="37.6328125" customWidth="1"/>
    <col min="12" max="12" width="7.90625" customWidth="1" collapsed="1"/>
    <col min="13" max="21" width="12.6328125" hidden="1" outlineLevel="1"/>
  </cols>
  <sheetData>
    <row r="1" spans="1:21" ht="4.5" customHeight="1" collapsed="1">
      <c r="A1" s="50">
        <v>1</v>
      </c>
      <c r="B1" s="6"/>
      <c r="C1" s="6"/>
      <c r="D1" s="6"/>
      <c r="E1" s="6"/>
      <c r="F1" s="6"/>
      <c r="G1" s="6"/>
      <c r="H1" s="6"/>
      <c r="I1" s="6"/>
      <c r="J1" s="6"/>
      <c r="K1" s="6"/>
      <c r="L1" s="7"/>
      <c r="M1" s="7"/>
      <c r="N1" s="7"/>
      <c r="O1" s="7"/>
      <c r="P1" s="7"/>
      <c r="Q1" s="7"/>
      <c r="R1" s="7"/>
      <c r="S1" s="7"/>
      <c r="T1" s="7"/>
      <c r="U1" s="8"/>
    </row>
    <row r="2" spans="1:21" ht="13" hidden="1" outlineLevel="1">
      <c r="A2" s="202" t="s">
        <v>6</v>
      </c>
      <c r="B2" s="203"/>
      <c r="C2" s="230" t="s">
        <v>7</v>
      </c>
      <c r="D2" s="203"/>
      <c r="E2" s="203"/>
      <c r="F2" s="203"/>
      <c r="G2" s="203"/>
      <c r="H2" s="203"/>
      <c r="I2" s="203"/>
      <c r="J2" s="203"/>
      <c r="K2" s="203"/>
      <c r="L2" s="7"/>
      <c r="M2" s="7"/>
      <c r="N2" s="7"/>
      <c r="O2" s="7"/>
      <c r="P2" s="7"/>
      <c r="Q2" s="7"/>
      <c r="R2" s="7"/>
      <c r="S2" s="7"/>
      <c r="T2" s="7"/>
      <c r="U2" s="8"/>
    </row>
    <row r="3" spans="1:21" ht="15.5">
      <c r="A3" s="231" t="s">
        <v>109</v>
      </c>
      <c r="B3" s="203"/>
      <c r="C3" s="203"/>
      <c r="D3" s="203"/>
      <c r="E3" s="203"/>
      <c r="F3" s="203"/>
      <c r="G3" s="203"/>
      <c r="H3" s="203"/>
      <c r="I3" s="203"/>
      <c r="J3" s="203"/>
      <c r="K3" s="206"/>
      <c r="L3" s="43"/>
      <c r="M3" s="43"/>
      <c r="N3" s="43"/>
      <c r="O3" s="43"/>
      <c r="P3" s="43"/>
      <c r="Q3" s="43"/>
      <c r="R3" s="43"/>
      <c r="S3" s="43"/>
      <c r="T3" s="43"/>
      <c r="U3" s="44"/>
    </row>
    <row r="4" spans="1:21" ht="15.5" outlineLevel="1">
      <c r="A4" s="232" t="s">
        <v>9</v>
      </c>
      <c r="B4" s="206"/>
      <c r="C4" s="51" t="s">
        <v>10</v>
      </c>
      <c r="D4" s="52" t="s">
        <v>11</v>
      </c>
      <c r="E4" s="53" t="s">
        <v>12</v>
      </c>
      <c r="F4" s="51" t="s">
        <v>13</v>
      </c>
      <c r="G4" s="51" t="s">
        <v>14</v>
      </c>
      <c r="H4" s="54" t="s">
        <v>15</v>
      </c>
      <c r="I4" s="51" t="s">
        <v>16</v>
      </c>
      <c r="J4" s="51"/>
      <c r="K4" s="51" t="s">
        <v>17</v>
      </c>
      <c r="L4" s="43"/>
      <c r="M4" s="43"/>
      <c r="N4" s="43"/>
      <c r="O4" s="43"/>
      <c r="P4" s="43"/>
      <c r="Q4" s="43"/>
      <c r="R4" s="43"/>
      <c r="S4" s="43"/>
      <c r="T4" s="43"/>
      <c r="U4" s="44"/>
    </row>
    <row r="5" spans="1:21" ht="50" outlineLevel="1">
      <c r="A5" s="233" t="s">
        <v>18</v>
      </c>
      <c r="B5" s="14" t="s">
        <v>110</v>
      </c>
      <c r="C5" s="27">
        <f t="shared" ref="C5:C28" si="0">COUNTIF(F5:I5,TRUE)</f>
        <v>4</v>
      </c>
      <c r="D5" s="55" t="s">
        <v>111</v>
      </c>
      <c r="E5" s="30" t="s">
        <v>112</v>
      </c>
      <c r="F5" s="56" t="b">
        <v>1</v>
      </c>
      <c r="G5" s="56" t="b">
        <v>1</v>
      </c>
      <c r="H5" s="56" t="b">
        <v>1</v>
      </c>
      <c r="I5" s="56" t="b">
        <v>1</v>
      </c>
      <c r="J5" s="57"/>
      <c r="K5" s="58" t="s">
        <v>113</v>
      </c>
      <c r="L5" s="43"/>
      <c r="M5" s="43"/>
      <c r="N5" s="43"/>
      <c r="O5" s="43"/>
      <c r="P5" s="43"/>
      <c r="Q5" s="43"/>
      <c r="R5" s="43"/>
      <c r="S5" s="43"/>
      <c r="T5" s="43"/>
      <c r="U5" s="44"/>
    </row>
    <row r="6" spans="1:21" ht="56" outlineLevel="1">
      <c r="A6" s="208"/>
      <c r="B6" s="234" t="s">
        <v>114</v>
      </c>
      <c r="C6" s="21">
        <f t="shared" si="0"/>
        <v>4</v>
      </c>
      <c r="D6" s="43" t="s">
        <v>115</v>
      </c>
      <c r="E6" s="59" t="s">
        <v>116</v>
      </c>
      <c r="F6" s="60" t="b">
        <v>1</v>
      </c>
      <c r="G6" s="60" t="b">
        <v>1</v>
      </c>
      <c r="H6" s="60" t="b">
        <v>1</v>
      </c>
      <c r="I6" s="60" t="b">
        <v>1</v>
      </c>
      <c r="J6" s="61"/>
      <c r="K6" s="62" t="s">
        <v>117</v>
      </c>
      <c r="L6" s="43"/>
      <c r="M6" s="43"/>
      <c r="N6" s="43"/>
      <c r="O6" s="43"/>
      <c r="P6" s="43"/>
      <c r="Q6" s="43"/>
      <c r="R6" s="43"/>
      <c r="S6" s="43"/>
      <c r="T6" s="43"/>
      <c r="U6" s="44"/>
    </row>
    <row r="7" spans="1:21" ht="56" outlineLevel="1">
      <c r="A7" s="208"/>
      <c r="B7" s="210"/>
      <c r="C7" s="21">
        <f t="shared" si="0"/>
        <v>3</v>
      </c>
      <c r="D7" s="43" t="s">
        <v>118</v>
      </c>
      <c r="E7" s="59" t="s">
        <v>119</v>
      </c>
      <c r="F7" s="60" t="b">
        <v>1</v>
      </c>
      <c r="G7" s="60" t="b">
        <v>1</v>
      </c>
      <c r="H7" s="60" t="b">
        <v>1</v>
      </c>
      <c r="I7" s="63" t="b">
        <v>0</v>
      </c>
      <c r="J7" s="61"/>
      <c r="K7" s="62" t="s">
        <v>120</v>
      </c>
      <c r="L7" s="43"/>
      <c r="M7" s="43"/>
      <c r="N7" s="43"/>
      <c r="O7" s="43"/>
      <c r="P7" s="43"/>
      <c r="Q7" s="43"/>
      <c r="R7" s="43"/>
      <c r="S7" s="43"/>
      <c r="T7" s="43"/>
      <c r="U7" s="44"/>
    </row>
    <row r="8" spans="1:21" ht="28" outlineLevel="1">
      <c r="A8" s="208"/>
      <c r="B8" s="210"/>
      <c r="C8" s="21">
        <f t="shared" si="0"/>
        <v>2</v>
      </c>
      <c r="D8" s="43" t="s">
        <v>121</v>
      </c>
      <c r="E8" s="59" t="s">
        <v>122</v>
      </c>
      <c r="F8" s="60" t="b">
        <v>0</v>
      </c>
      <c r="G8" s="60" t="b">
        <v>1</v>
      </c>
      <c r="H8" s="60" t="b">
        <v>1</v>
      </c>
      <c r="I8" s="60" t="b">
        <v>0</v>
      </c>
      <c r="J8" s="61"/>
      <c r="K8" s="62" t="s">
        <v>123</v>
      </c>
      <c r="L8" s="43"/>
      <c r="M8" s="43"/>
      <c r="N8" s="43"/>
      <c r="O8" s="43"/>
      <c r="P8" s="43"/>
      <c r="Q8" s="43"/>
      <c r="R8" s="43"/>
      <c r="S8" s="43"/>
      <c r="T8" s="43"/>
      <c r="U8" s="44"/>
    </row>
    <row r="9" spans="1:21" ht="37.5" outlineLevel="1">
      <c r="A9" s="208"/>
      <c r="B9" s="210"/>
      <c r="C9" s="21">
        <f t="shared" si="0"/>
        <v>2</v>
      </c>
      <c r="D9" s="43" t="s">
        <v>124</v>
      </c>
      <c r="E9" s="59" t="s">
        <v>125</v>
      </c>
      <c r="F9" s="60" t="b">
        <v>0</v>
      </c>
      <c r="G9" s="60" t="b">
        <v>1</v>
      </c>
      <c r="H9" s="60" t="b">
        <v>1</v>
      </c>
      <c r="I9" s="63" t="b">
        <v>0</v>
      </c>
      <c r="J9" s="61"/>
      <c r="K9" s="64" t="s">
        <v>126</v>
      </c>
      <c r="L9" s="43"/>
      <c r="M9" s="43"/>
      <c r="N9" s="43"/>
      <c r="O9" s="43"/>
      <c r="P9" s="43"/>
      <c r="Q9" s="43"/>
      <c r="R9" s="43"/>
      <c r="S9" s="43"/>
      <c r="T9" s="43"/>
      <c r="U9" s="44"/>
    </row>
    <row r="10" spans="1:21" ht="37.5" outlineLevel="1">
      <c r="A10" s="208"/>
      <c r="B10" s="211"/>
      <c r="C10" s="27">
        <f t="shared" si="0"/>
        <v>3</v>
      </c>
      <c r="D10" s="55" t="s">
        <v>127</v>
      </c>
      <c r="E10" s="30" t="s">
        <v>128</v>
      </c>
      <c r="F10" s="56" t="b">
        <v>1</v>
      </c>
      <c r="G10" s="56" t="b">
        <v>1</v>
      </c>
      <c r="H10" s="56" t="b">
        <v>1</v>
      </c>
      <c r="I10" s="56" t="b">
        <v>0</v>
      </c>
      <c r="J10" s="57"/>
      <c r="K10" s="58" t="s">
        <v>129</v>
      </c>
      <c r="L10" s="43"/>
      <c r="M10" s="43"/>
      <c r="N10" s="43"/>
      <c r="O10" s="43"/>
      <c r="P10" s="43"/>
      <c r="Q10" s="43"/>
      <c r="R10" s="43"/>
      <c r="S10" s="43"/>
      <c r="T10" s="43"/>
      <c r="U10" s="44"/>
    </row>
    <row r="11" spans="1:21" ht="112.5" outlineLevel="1">
      <c r="A11" s="208"/>
      <c r="B11" s="229" t="s">
        <v>130</v>
      </c>
      <c r="C11" s="21">
        <f t="shared" si="0"/>
        <v>4</v>
      </c>
      <c r="D11" s="43" t="s">
        <v>131</v>
      </c>
      <c r="E11" s="59" t="s">
        <v>132</v>
      </c>
      <c r="F11" s="60" t="b">
        <v>1</v>
      </c>
      <c r="G11" s="60" t="b">
        <v>1</v>
      </c>
      <c r="H11" s="60" t="b">
        <v>1</v>
      </c>
      <c r="I11" s="60" t="b">
        <v>1</v>
      </c>
      <c r="J11" s="61"/>
      <c r="K11" s="65" t="s">
        <v>133</v>
      </c>
      <c r="L11" s="43"/>
      <c r="M11" s="43"/>
      <c r="N11" s="43"/>
      <c r="O11" s="43"/>
      <c r="P11" s="43"/>
      <c r="Q11" s="43"/>
      <c r="R11" s="43"/>
      <c r="S11" s="43"/>
      <c r="T11" s="43"/>
      <c r="U11" s="44"/>
    </row>
    <row r="12" spans="1:21" ht="37.5" outlineLevel="1">
      <c r="A12" s="208"/>
      <c r="B12" s="210"/>
      <c r="C12" s="21">
        <f t="shared" si="0"/>
        <v>2</v>
      </c>
      <c r="D12" s="43" t="s">
        <v>134</v>
      </c>
      <c r="E12" s="59" t="s">
        <v>135</v>
      </c>
      <c r="F12" s="60" t="b">
        <v>0</v>
      </c>
      <c r="G12" s="60" t="b">
        <v>1</v>
      </c>
      <c r="H12" s="60" t="b">
        <v>1</v>
      </c>
      <c r="I12" s="60" t="b">
        <v>0</v>
      </c>
      <c r="J12" s="61"/>
      <c r="K12" s="64" t="s">
        <v>136</v>
      </c>
      <c r="L12" s="43"/>
      <c r="M12" s="43"/>
      <c r="N12" s="43"/>
      <c r="O12" s="43"/>
      <c r="P12" s="43"/>
      <c r="Q12" s="43"/>
      <c r="R12" s="43"/>
      <c r="S12" s="43"/>
      <c r="T12" s="43"/>
      <c r="U12" s="44"/>
    </row>
    <row r="13" spans="1:21" ht="75" outlineLevel="1">
      <c r="A13" s="208"/>
      <c r="B13" s="211"/>
      <c r="C13" s="27">
        <f t="shared" si="0"/>
        <v>2</v>
      </c>
      <c r="D13" s="55" t="s">
        <v>137</v>
      </c>
      <c r="E13" s="30" t="s">
        <v>138</v>
      </c>
      <c r="F13" s="56" t="b">
        <v>0</v>
      </c>
      <c r="G13" s="56" t="b">
        <v>1</v>
      </c>
      <c r="H13" s="56" t="b">
        <v>1</v>
      </c>
      <c r="I13" s="66" t="b">
        <v>0</v>
      </c>
      <c r="J13" s="57"/>
      <c r="K13" s="67" t="s">
        <v>139</v>
      </c>
      <c r="L13" s="43"/>
      <c r="M13" s="43"/>
      <c r="N13" s="43"/>
      <c r="O13" s="43"/>
      <c r="P13" s="43"/>
      <c r="Q13" s="43"/>
      <c r="R13" s="43"/>
      <c r="S13" s="43"/>
      <c r="T13" s="43"/>
      <c r="U13" s="44"/>
    </row>
    <row r="14" spans="1:21" ht="75" outlineLevel="1">
      <c r="A14" s="235" t="s">
        <v>23</v>
      </c>
      <c r="B14" s="228" t="s">
        <v>140</v>
      </c>
      <c r="C14" s="21">
        <f t="shared" si="0"/>
        <v>2</v>
      </c>
      <c r="D14" s="43" t="s">
        <v>141</v>
      </c>
      <c r="E14" s="59" t="s">
        <v>142</v>
      </c>
      <c r="F14" s="60" t="b">
        <v>0</v>
      </c>
      <c r="G14" s="60" t="b">
        <v>1</v>
      </c>
      <c r="H14" s="60" t="b">
        <v>1</v>
      </c>
      <c r="I14" s="60" t="b">
        <v>0</v>
      </c>
      <c r="J14" s="61"/>
      <c r="K14" s="68" t="s">
        <v>143</v>
      </c>
      <c r="L14" s="43"/>
      <c r="M14" s="43"/>
      <c r="N14" s="43"/>
      <c r="O14" s="43"/>
      <c r="P14" s="43"/>
      <c r="Q14" s="43"/>
      <c r="R14" s="43"/>
      <c r="S14" s="43"/>
      <c r="T14" s="43"/>
      <c r="U14" s="44"/>
    </row>
    <row r="15" spans="1:21" ht="50" outlineLevel="1">
      <c r="A15" s="208"/>
      <c r="B15" s="211"/>
      <c r="C15" s="27">
        <f t="shared" si="0"/>
        <v>2</v>
      </c>
      <c r="D15" s="55" t="s">
        <v>144</v>
      </c>
      <c r="E15" s="30" t="s">
        <v>145</v>
      </c>
      <c r="F15" s="56" t="b">
        <v>0</v>
      </c>
      <c r="G15" s="56" t="b">
        <v>1</v>
      </c>
      <c r="H15" s="56" t="b">
        <v>1</v>
      </c>
      <c r="I15" s="66" t="b">
        <v>0</v>
      </c>
      <c r="J15" s="57"/>
      <c r="K15" s="68"/>
      <c r="L15" s="43"/>
      <c r="M15" s="43"/>
      <c r="N15" s="43"/>
      <c r="O15" s="43"/>
      <c r="P15" s="43"/>
      <c r="Q15" s="43"/>
      <c r="R15" s="43"/>
      <c r="S15" s="43"/>
      <c r="T15" s="43"/>
      <c r="U15" s="44"/>
    </row>
    <row r="16" spans="1:21" ht="75" outlineLevel="1">
      <c r="A16" s="208"/>
      <c r="B16" s="237" t="s">
        <v>146</v>
      </c>
      <c r="C16" s="21">
        <f t="shared" si="0"/>
        <v>2</v>
      </c>
      <c r="D16" s="43" t="s">
        <v>147</v>
      </c>
      <c r="E16" s="59" t="s">
        <v>148</v>
      </c>
      <c r="F16" s="60" t="b">
        <v>0</v>
      </c>
      <c r="G16" s="60" t="b">
        <v>1</v>
      </c>
      <c r="H16" s="60" t="b">
        <v>1</v>
      </c>
      <c r="I16" s="60" t="b">
        <v>0</v>
      </c>
      <c r="J16" s="61"/>
      <c r="K16" s="68" t="s">
        <v>149</v>
      </c>
      <c r="L16" s="43"/>
      <c r="M16" s="43"/>
      <c r="N16" s="43"/>
      <c r="O16" s="43"/>
      <c r="P16" s="43"/>
      <c r="Q16" s="43"/>
      <c r="R16" s="43"/>
      <c r="S16" s="43"/>
      <c r="T16" s="43"/>
      <c r="U16" s="44"/>
    </row>
    <row r="17" spans="1:21" ht="42" outlineLevel="1">
      <c r="A17" s="208"/>
      <c r="B17" s="211"/>
      <c r="C17" s="27">
        <f t="shared" si="0"/>
        <v>2</v>
      </c>
      <c r="D17" s="55" t="s">
        <v>150</v>
      </c>
      <c r="E17" s="30" t="s">
        <v>151</v>
      </c>
      <c r="F17" s="56" t="b">
        <v>0</v>
      </c>
      <c r="G17" s="56" t="b">
        <v>1</v>
      </c>
      <c r="H17" s="56" t="b">
        <v>1</v>
      </c>
      <c r="I17" s="56" t="b">
        <v>0</v>
      </c>
      <c r="J17" s="57"/>
      <c r="K17" s="69" t="s">
        <v>152</v>
      </c>
      <c r="L17" s="43"/>
      <c r="M17" s="43"/>
      <c r="N17" s="43"/>
      <c r="O17" s="43"/>
      <c r="P17" s="43"/>
      <c r="Q17" s="43"/>
      <c r="R17" s="43"/>
      <c r="S17" s="43"/>
      <c r="T17" s="43"/>
      <c r="U17" s="44"/>
    </row>
    <row r="18" spans="1:21" ht="37.5" outlineLevel="1">
      <c r="A18" s="208"/>
      <c r="B18" s="236" t="s">
        <v>153</v>
      </c>
      <c r="C18" s="21">
        <f t="shared" si="0"/>
        <v>3</v>
      </c>
      <c r="D18" s="43" t="s">
        <v>154</v>
      </c>
      <c r="E18" s="59" t="s">
        <v>155</v>
      </c>
      <c r="F18" s="60" t="b">
        <v>1</v>
      </c>
      <c r="G18" s="60" t="b">
        <v>1</v>
      </c>
      <c r="H18" s="60" t="b">
        <v>1</v>
      </c>
      <c r="I18" s="63" t="b">
        <v>0</v>
      </c>
      <c r="J18" s="61"/>
      <c r="K18" s="64" t="s">
        <v>156</v>
      </c>
      <c r="L18" s="43"/>
      <c r="M18" s="43"/>
      <c r="N18" s="43"/>
      <c r="O18" s="43"/>
      <c r="P18" s="43"/>
      <c r="Q18" s="43"/>
      <c r="R18" s="43"/>
      <c r="S18" s="43"/>
      <c r="T18" s="43"/>
      <c r="U18" s="44"/>
    </row>
    <row r="19" spans="1:21" ht="112.5" outlineLevel="1">
      <c r="A19" s="208"/>
      <c r="B19" s="211"/>
      <c r="C19" s="27">
        <f t="shared" si="0"/>
        <v>4</v>
      </c>
      <c r="D19" s="55" t="s">
        <v>157</v>
      </c>
      <c r="E19" s="30" t="s">
        <v>158</v>
      </c>
      <c r="F19" s="56" t="b">
        <v>1</v>
      </c>
      <c r="G19" s="56" t="b">
        <v>1</v>
      </c>
      <c r="H19" s="56" t="b">
        <v>1</v>
      </c>
      <c r="I19" s="56" t="b">
        <v>1</v>
      </c>
      <c r="J19" s="57"/>
      <c r="K19" s="67" t="s">
        <v>159</v>
      </c>
      <c r="L19" s="43"/>
      <c r="M19" s="43"/>
      <c r="N19" s="43"/>
      <c r="O19" s="43"/>
      <c r="P19" s="43"/>
      <c r="Q19" s="43"/>
      <c r="R19" s="43"/>
      <c r="S19" s="43"/>
      <c r="T19" s="43"/>
      <c r="U19" s="44"/>
    </row>
    <row r="20" spans="1:21" ht="62.5" outlineLevel="1">
      <c r="A20" s="208"/>
      <c r="B20" s="236" t="s">
        <v>160</v>
      </c>
      <c r="C20" s="21">
        <f t="shared" si="0"/>
        <v>2</v>
      </c>
      <c r="D20" s="43" t="s">
        <v>161</v>
      </c>
      <c r="E20" s="59" t="s">
        <v>162</v>
      </c>
      <c r="F20" s="60" t="b">
        <v>0</v>
      </c>
      <c r="G20" s="60" t="b">
        <v>1</v>
      </c>
      <c r="H20" s="60" t="b">
        <v>1</v>
      </c>
      <c r="I20" s="60" t="b">
        <v>0</v>
      </c>
      <c r="J20" s="61"/>
      <c r="K20" s="64" t="s">
        <v>163</v>
      </c>
      <c r="L20" s="43"/>
      <c r="M20" s="43"/>
      <c r="N20" s="43"/>
      <c r="O20" s="43"/>
      <c r="P20" s="43"/>
      <c r="Q20" s="43"/>
      <c r="R20" s="43"/>
      <c r="S20" s="43"/>
      <c r="T20" s="43"/>
      <c r="U20" s="44"/>
    </row>
    <row r="21" spans="1:21" ht="62.5" outlineLevel="1">
      <c r="A21" s="208"/>
      <c r="B21" s="211"/>
      <c r="C21" s="27">
        <f t="shared" si="0"/>
        <v>2</v>
      </c>
      <c r="D21" s="55" t="s">
        <v>164</v>
      </c>
      <c r="E21" s="30" t="s">
        <v>165</v>
      </c>
      <c r="F21" s="56" t="b">
        <v>0</v>
      </c>
      <c r="G21" s="56" t="b">
        <v>1</v>
      </c>
      <c r="H21" s="56" t="b">
        <v>1</v>
      </c>
      <c r="I21" s="66" t="b">
        <v>0</v>
      </c>
      <c r="J21" s="57"/>
      <c r="K21" s="67" t="s">
        <v>166</v>
      </c>
      <c r="L21" s="43"/>
      <c r="M21" s="43"/>
      <c r="N21" s="43"/>
      <c r="O21" s="43"/>
      <c r="P21" s="43"/>
      <c r="Q21" s="43"/>
      <c r="R21" s="43"/>
      <c r="S21" s="43"/>
      <c r="T21" s="43"/>
      <c r="U21" s="44"/>
    </row>
    <row r="22" spans="1:21" ht="50" outlineLevel="1">
      <c r="A22" s="238" t="s">
        <v>39</v>
      </c>
      <c r="B22" s="220" t="s">
        <v>167</v>
      </c>
      <c r="C22" s="21">
        <f t="shared" si="0"/>
        <v>2</v>
      </c>
      <c r="D22" s="70" t="s">
        <v>168</v>
      </c>
      <c r="E22" s="59" t="s">
        <v>169</v>
      </c>
      <c r="F22" s="60" t="b">
        <v>0</v>
      </c>
      <c r="G22" s="63" t="b">
        <v>0</v>
      </c>
      <c r="H22" s="60" t="b">
        <v>1</v>
      </c>
      <c r="I22" s="60" t="b">
        <v>1</v>
      </c>
      <c r="J22" s="61"/>
      <c r="K22" s="62" t="s">
        <v>170</v>
      </c>
      <c r="L22" s="43"/>
      <c r="M22" s="43"/>
      <c r="N22" s="43"/>
      <c r="O22" s="43"/>
      <c r="P22" s="43"/>
      <c r="Q22" s="43"/>
      <c r="R22" s="43"/>
      <c r="S22" s="43"/>
      <c r="T22" s="43"/>
      <c r="U22" s="44"/>
    </row>
    <row r="23" spans="1:21" ht="75" outlineLevel="1">
      <c r="A23" s="208"/>
      <c r="B23" s="210"/>
      <c r="C23" s="21">
        <f t="shared" si="0"/>
        <v>2</v>
      </c>
      <c r="D23" s="70" t="s">
        <v>171</v>
      </c>
      <c r="E23" s="59" t="s">
        <v>172</v>
      </c>
      <c r="F23" s="60" t="b">
        <v>0</v>
      </c>
      <c r="G23" s="60" t="b">
        <v>1</v>
      </c>
      <c r="H23" s="60" t="b">
        <v>1</v>
      </c>
      <c r="I23" s="60" t="b">
        <v>0</v>
      </c>
      <c r="J23" s="61"/>
      <c r="K23" s="62" t="s">
        <v>173</v>
      </c>
      <c r="L23" s="43"/>
      <c r="M23" s="43"/>
      <c r="N23" s="43"/>
      <c r="O23" s="43"/>
      <c r="P23" s="43"/>
      <c r="Q23" s="43"/>
      <c r="R23" s="43"/>
      <c r="S23" s="43"/>
      <c r="T23" s="43"/>
      <c r="U23" s="44"/>
    </row>
    <row r="24" spans="1:21" ht="75" outlineLevel="1">
      <c r="A24" s="208"/>
      <c r="B24" s="211"/>
      <c r="C24" s="27">
        <f t="shared" si="0"/>
        <v>2</v>
      </c>
      <c r="D24" s="71" t="s">
        <v>174</v>
      </c>
      <c r="E24" s="30" t="s">
        <v>175</v>
      </c>
      <c r="F24" s="56" t="b">
        <v>0</v>
      </c>
      <c r="G24" s="56" t="b">
        <v>1</v>
      </c>
      <c r="H24" s="56" t="b">
        <v>1</v>
      </c>
      <c r="I24" s="56" t="b">
        <v>0</v>
      </c>
      <c r="J24" s="57"/>
      <c r="K24" s="62" t="s">
        <v>176</v>
      </c>
      <c r="L24" s="43"/>
      <c r="M24" s="43"/>
      <c r="N24" s="43"/>
      <c r="O24" s="43"/>
      <c r="P24" s="43"/>
      <c r="Q24" s="43"/>
      <c r="R24" s="43"/>
      <c r="S24" s="43"/>
      <c r="T24" s="43"/>
      <c r="U24" s="44"/>
    </row>
    <row r="25" spans="1:21" ht="70" outlineLevel="1">
      <c r="A25" s="239" t="s">
        <v>57</v>
      </c>
      <c r="B25" s="223" t="s">
        <v>177</v>
      </c>
      <c r="C25" s="21">
        <f t="shared" si="0"/>
        <v>3</v>
      </c>
      <c r="D25" s="43" t="s">
        <v>178</v>
      </c>
      <c r="E25" s="59" t="s">
        <v>179</v>
      </c>
      <c r="F25" s="60" t="b">
        <v>0</v>
      </c>
      <c r="G25" s="60" t="b">
        <v>1</v>
      </c>
      <c r="H25" s="60" t="b">
        <v>1</v>
      </c>
      <c r="I25" s="60" t="b">
        <v>1</v>
      </c>
      <c r="J25" s="61"/>
      <c r="K25" s="62" t="s">
        <v>180</v>
      </c>
      <c r="L25" s="43"/>
      <c r="M25" s="43"/>
      <c r="N25" s="43"/>
      <c r="O25" s="43"/>
      <c r="P25" s="43"/>
      <c r="Q25" s="43"/>
      <c r="R25" s="43"/>
      <c r="S25" s="43"/>
      <c r="T25" s="43"/>
      <c r="U25" s="44"/>
    </row>
    <row r="26" spans="1:21" ht="87.5" outlineLevel="1">
      <c r="A26" s="208"/>
      <c r="B26" s="211"/>
      <c r="C26" s="27">
        <f t="shared" si="0"/>
        <v>3</v>
      </c>
      <c r="D26" s="55" t="s">
        <v>181</v>
      </c>
      <c r="E26" s="30" t="s">
        <v>182</v>
      </c>
      <c r="F26" s="56" t="b">
        <v>0</v>
      </c>
      <c r="G26" s="56" t="b">
        <v>1</v>
      </c>
      <c r="H26" s="56" t="b">
        <v>1</v>
      </c>
      <c r="I26" s="56" t="b">
        <v>1</v>
      </c>
      <c r="J26" s="57"/>
      <c r="K26" s="62" t="s">
        <v>183</v>
      </c>
      <c r="L26" s="43"/>
      <c r="M26" s="43"/>
      <c r="N26" s="43"/>
      <c r="O26" s="43"/>
      <c r="P26" s="43"/>
      <c r="Q26" s="43"/>
      <c r="R26" s="43"/>
      <c r="S26" s="43"/>
      <c r="T26" s="43"/>
      <c r="U26" s="44"/>
    </row>
    <row r="27" spans="1:21" ht="84" outlineLevel="1">
      <c r="A27" s="208"/>
      <c r="B27" s="31" t="s">
        <v>184</v>
      </c>
      <c r="C27" s="27">
        <f t="shared" si="0"/>
        <v>4</v>
      </c>
      <c r="D27" s="55" t="s">
        <v>185</v>
      </c>
      <c r="E27" s="30" t="s">
        <v>186</v>
      </c>
      <c r="F27" s="56" t="b">
        <v>1</v>
      </c>
      <c r="G27" s="56" t="b">
        <v>1</v>
      </c>
      <c r="H27" s="56" t="b">
        <v>1</v>
      </c>
      <c r="I27" s="56" t="b">
        <v>1</v>
      </c>
      <c r="J27" s="57"/>
      <c r="K27" s="62" t="s">
        <v>187</v>
      </c>
      <c r="L27" s="43"/>
      <c r="M27" s="43"/>
      <c r="N27" s="43"/>
      <c r="O27" s="43"/>
      <c r="P27" s="43"/>
      <c r="Q27" s="43"/>
      <c r="R27" s="43"/>
      <c r="S27" s="43"/>
      <c r="T27" s="43"/>
      <c r="U27" s="44"/>
    </row>
    <row r="28" spans="1:21" ht="56" outlineLevel="1">
      <c r="A28" s="206"/>
      <c r="B28" s="72" t="s">
        <v>188</v>
      </c>
      <c r="C28" s="21">
        <f t="shared" si="0"/>
        <v>3</v>
      </c>
      <c r="D28" s="55" t="s">
        <v>189</v>
      </c>
      <c r="E28" s="30" t="s">
        <v>190</v>
      </c>
      <c r="F28" s="56" t="b">
        <v>0</v>
      </c>
      <c r="G28" s="56" t="b">
        <v>1</v>
      </c>
      <c r="H28" s="56" t="b">
        <v>1</v>
      </c>
      <c r="I28" s="56" t="b">
        <v>1</v>
      </c>
      <c r="J28" s="73"/>
      <c r="K28" s="62" t="s">
        <v>191</v>
      </c>
      <c r="L28" s="43"/>
      <c r="M28" s="43"/>
      <c r="N28" s="43"/>
      <c r="O28" s="43"/>
      <c r="P28" s="43"/>
      <c r="Q28" s="43"/>
      <c r="R28" s="43"/>
      <c r="S28" s="43"/>
      <c r="T28" s="43"/>
      <c r="U28" s="44"/>
    </row>
    <row r="29" spans="1:21" ht="12.5">
      <c r="A29" s="36"/>
      <c r="B29" s="36"/>
      <c r="C29" s="36"/>
      <c r="D29" s="36"/>
      <c r="E29" s="36"/>
      <c r="F29" s="36"/>
      <c r="G29" s="36"/>
      <c r="H29" s="36"/>
      <c r="I29" s="36"/>
      <c r="J29" s="36"/>
      <c r="K29" s="36"/>
      <c r="L29" s="43"/>
      <c r="M29" s="43"/>
      <c r="N29" s="43"/>
      <c r="O29" s="43"/>
      <c r="P29" s="43"/>
      <c r="Q29" s="43"/>
      <c r="R29" s="43"/>
      <c r="S29" s="43"/>
      <c r="T29" s="43"/>
      <c r="U29" s="44"/>
    </row>
    <row r="30" spans="1:21" ht="78" outlineLevel="1">
      <c r="A30" s="217" t="s">
        <v>6</v>
      </c>
      <c r="B30" s="218"/>
      <c r="C30" s="37" t="s">
        <v>102</v>
      </c>
      <c r="D30" s="38">
        <f>COUNTIF(L33:L56,TRUE)</f>
        <v>6</v>
      </c>
      <c r="E30" s="74" t="s">
        <v>103</v>
      </c>
      <c r="F30" s="219" t="s">
        <v>104</v>
      </c>
      <c r="G30" s="218"/>
      <c r="H30" s="40">
        <f ca="1">IFERROR(__xludf.DUMMYFUNCTION("COUNTUNIQUE(D5:D28)"),24)</f>
        <v>24</v>
      </c>
      <c r="I30" s="41" t="s">
        <v>105</v>
      </c>
      <c r="J30" s="42"/>
      <c r="K30" s="42">
        <f ca="1">H30/3</f>
        <v>8</v>
      </c>
      <c r="L30" s="43"/>
      <c r="M30" s="43"/>
      <c r="N30" s="43"/>
      <c r="O30" s="43"/>
      <c r="P30" s="43"/>
      <c r="Q30" s="43"/>
      <c r="R30" s="43"/>
      <c r="S30" s="43"/>
      <c r="T30" s="43"/>
      <c r="U30" s="44"/>
    </row>
    <row r="31" spans="1:21" ht="17.5" outlineLevel="1">
      <c r="A31" s="227" t="s">
        <v>106</v>
      </c>
      <c r="B31" s="203"/>
      <c r="C31" s="75">
        <v>1</v>
      </c>
      <c r="D31" s="7"/>
      <c r="E31" s="46" t="s">
        <v>107</v>
      </c>
      <c r="F31" s="7"/>
      <c r="G31" s="7"/>
      <c r="H31" s="7"/>
      <c r="I31" s="7"/>
      <c r="J31" s="7"/>
      <c r="K31" s="7"/>
      <c r="L31" s="43"/>
      <c r="M31" s="43"/>
      <c r="N31" s="43"/>
      <c r="O31" s="43"/>
      <c r="P31" s="43"/>
      <c r="Q31" s="43"/>
      <c r="R31" s="43"/>
      <c r="S31" s="43"/>
      <c r="T31" s="43"/>
      <c r="U31" s="44"/>
    </row>
    <row r="32" spans="1:21" ht="15.5" outlineLevel="1">
      <c r="A32" s="207" t="s">
        <v>9</v>
      </c>
      <c r="B32" s="208"/>
      <c r="C32" s="9" t="s">
        <v>10</v>
      </c>
      <c r="D32" s="10" t="s">
        <v>11</v>
      </c>
      <c r="E32" s="11" t="s">
        <v>12</v>
      </c>
      <c r="F32" s="9" t="s">
        <v>13</v>
      </c>
      <c r="G32" s="9" t="s">
        <v>14</v>
      </c>
      <c r="H32" s="9" t="s">
        <v>15</v>
      </c>
      <c r="I32" s="9" t="s">
        <v>16</v>
      </c>
      <c r="J32" s="9"/>
      <c r="K32" s="9" t="s">
        <v>17</v>
      </c>
      <c r="L32" s="10" t="s">
        <v>108</v>
      </c>
      <c r="M32" s="43"/>
      <c r="N32" s="43"/>
      <c r="O32" s="43"/>
      <c r="P32" s="43"/>
      <c r="Q32" s="43"/>
      <c r="R32" s="43"/>
      <c r="S32" s="43"/>
      <c r="T32" s="43"/>
      <c r="U32" s="44"/>
    </row>
    <row r="33" spans="1:21" ht="50" outlineLevel="1">
      <c r="A33" s="233" t="s">
        <v>18</v>
      </c>
      <c r="B33" s="14" t="s">
        <v>110</v>
      </c>
      <c r="C33" s="27">
        <f t="shared" ref="C33:C56" si="1">COUNTIF(F33:I33,TRUE)</f>
        <v>4</v>
      </c>
      <c r="D33" s="7" t="str">
        <f t="shared" ref="D33:I33" si="2">IF($C5&gt;$C$31,D5,"")</f>
        <v>1.NBT.A.1</v>
      </c>
      <c r="E33" s="47" t="str">
        <f t="shared" si="2"/>
        <v>Count to 120, starting at any number less than 120. In this range, read and write numerals and represent a number of objects with a written numeral.</v>
      </c>
      <c r="F33" s="76" t="b">
        <f t="shared" si="2"/>
        <v>1</v>
      </c>
      <c r="G33" s="76" t="b">
        <f t="shared" si="2"/>
        <v>1</v>
      </c>
      <c r="H33" s="76" t="b">
        <f t="shared" si="2"/>
        <v>1</v>
      </c>
      <c r="I33" s="76" t="b">
        <f t="shared" si="2"/>
        <v>1</v>
      </c>
      <c r="J33" s="7"/>
      <c r="K33" s="47" t="str">
        <f t="shared" ref="K33:K56" si="3">IF($C5&gt;$C$31,K5,"")</f>
        <v>R-This is a foundational skill, E- This is necessary to grow in math, A-This will be assesed, L-it will be used at one point or another in all subject areas</v>
      </c>
      <c r="L33" s="48" t="b">
        <v>1</v>
      </c>
      <c r="M33" s="7">
        <f t="shared" ref="M33:U33" si="4">IF($L33=TRUE,C33,"")</f>
        <v>4</v>
      </c>
      <c r="N33" s="7" t="str">
        <f t="shared" si="4"/>
        <v>1.NBT.A.1</v>
      </c>
      <c r="O33" s="7" t="str">
        <f t="shared" si="4"/>
        <v>Count to 120, starting at any number less than 120. In this range, read and write numerals and represent a number of objects with a written numeral.</v>
      </c>
      <c r="P33" s="7" t="b">
        <f t="shared" si="4"/>
        <v>1</v>
      </c>
      <c r="Q33" s="7" t="b">
        <f t="shared" si="4"/>
        <v>1</v>
      </c>
      <c r="R33" s="7" t="b">
        <f t="shared" si="4"/>
        <v>1</v>
      </c>
      <c r="S33" s="7" t="b">
        <f t="shared" si="4"/>
        <v>1</v>
      </c>
      <c r="T33" s="7">
        <f t="shared" si="4"/>
        <v>0</v>
      </c>
      <c r="U33" s="8" t="str">
        <f t="shared" si="4"/>
        <v>R-This is a foundational skill, E- This is necessary to grow in math, A-This will be assesed, L-it will be used at one point or another in all subject areas</v>
      </c>
    </row>
    <row r="34" spans="1:21" ht="50" outlineLevel="1">
      <c r="A34" s="208"/>
      <c r="B34" s="234" t="s">
        <v>114</v>
      </c>
      <c r="C34" s="21">
        <f t="shared" si="1"/>
        <v>4</v>
      </c>
      <c r="D34" s="7" t="str">
        <f t="shared" ref="D34:I34" si="5">IF($C6&gt;$C$31,D6,"")</f>
        <v>1.NBT.B.2</v>
      </c>
      <c r="E34" s="47" t="str">
        <f t="shared" si="5"/>
        <v>Understand that the two digits of a two-digit number represent amounts of tens and ones. Understand the following as special cases:</v>
      </c>
      <c r="F34" s="76" t="b">
        <f t="shared" si="5"/>
        <v>1</v>
      </c>
      <c r="G34" s="76" t="b">
        <f t="shared" si="5"/>
        <v>1</v>
      </c>
      <c r="H34" s="76" t="b">
        <f t="shared" si="5"/>
        <v>1</v>
      </c>
      <c r="I34" s="76" t="b">
        <f t="shared" si="5"/>
        <v>1</v>
      </c>
      <c r="J34" s="7"/>
      <c r="K34" s="47" t="str">
        <f t="shared" si="3"/>
        <v>R-This is a foundational skill, E-This is an essintial skill for composing and decomposing numbers, A-This is assessed.  L-future science</v>
      </c>
      <c r="L34" s="77" t="b">
        <v>1</v>
      </c>
      <c r="M34" s="7">
        <f t="shared" ref="M34:U34" si="6">IF($L34=TRUE,C34,"")</f>
        <v>4</v>
      </c>
      <c r="N34" s="7" t="str">
        <f t="shared" si="6"/>
        <v>1.NBT.B.2</v>
      </c>
      <c r="O34" s="7" t="str">
        <f t="shared" si="6"/>
        <v>Understand that the two digits of a two-digit number represent amounts of tens and ones. Understand the following as special cases:</v>
      </c>
      <c r="P34" s="7" t="b">
        <f t="shared" si="6"/>
        <v>1</v>
      </c>
      <c r="Q34" s="7" t="b">
        <f t="shared" si="6"/>
        <v>1</v>
      </c>
      <c r="R34" s="7" t="b">
        <f t="shared" si="6"/>
        <v>1</v>
      </c>
      <c r="S34" s="7" t="b">
        <f t="shared" si="6"/>
        <v>1</v>
      </c>
      <c r="T34" s="7">
        <f t="shared" si="6"/>
        <v>0</v>
      </c>
      <c r="U34" s="8" t="str">
        <f t="shared" si="6"/>
        <v>R-This is a foundational skill, E-This is an essintial skill for composing and decomposing numbers, A-This is assessed.  L-future science</v>
      </c>
    </row>
    <row r="35" spans="1:21" ht="50" outlineLevel="1">
      <c r="A35" s="208"/>
      <c r="B35" s="210"/>
      <c r="C35" s="21">
        <f t="shared" si="1"/>
        <v>3</v>
      </c>
      <c r="D35" s="7" t="str">
        <f t="shared" ref="D35:I35" si="7">IF($C7&gt;$C$31,D7,"")</f>
        <v>1.NBT.B.2a</v>
      </c>
      <c r="E35" s="47" t="str">
        <f t="shared" si="7"/>
        <v>10 can be thought of as a bundle of ten ones — called a “ten.”</v>
      </c>
      <c r="F35" s="76" t="b">
        <f t="shared" si="7"/>
        <v>1</v>
      </c>
      <c r="G35" s="76" t="b">
        <f t="shared" si="7"/>
        <v>1</v>
      </c>
      <c r="H35" s="76" t="b">
        <f t="shared" si="7"/>
        <v>1</v>
      </c>
      <c r="I35" s="76" t="b">
        <f t="shared" si="7"/>
        <v>0</v>
      </c>
      <c r="J35" s="7"/>
      <c r="K35" s="47" t="str">
        <f t="shared" si="3"/>
        <v>R-This is a necessary foundational skill in order to work with bigger numbers, E- This will be applied to many future math concepts. A-This is Assesed.</v>
      </c>
      <c r="L35" s="77" t="b">
        <v>0</v>
      </c>
      <c r="M35" s="7" t="str">
        <f t="shared" ref="M35:U35" si="8">IF($L35=TRUE,C35,"")</f>
        <v/>
      </c>
      <c r="N35" s="7" t="str">
        <f t="shared" si="8"/>
        <v/>
      </c>
      <c r="O35" s="7" t="str">
        <f t="shared" si="8"/>
        <v/>
      </c>
      <c r="P35" s="7" t="str">
        <f t="shared" si="8"/>
        <v/>
      </c>
      <c r="Q35" s="7" t="str">
        <f t="shared" si="8"/>
        <v/>
      </c>
      <c r="R35" s="7" t="str">
        <f t="shared" si="8"/>
        <v/>
      </c>
      <c r="S35" s="7" t="str">
        <f t="shared" si="8"/>
        <v/>
      </c>
      <c r="T35" s="7" t="str">
        <f t="shared" si="8"/>
        <v/>
      </c>
      <c r="U35" s="8" t="str">
        <f t="shared" si="8"/>
        <v/>
      </c>
    </row>
    <row r="36" spans="1:21" ht="25" outlineLevel="1">
      <c r="A36" s="208"/>
      <c r="B36" s="210"/>
      <c r="C36" s="21">
        <f t="shared" si="1"/>
        <v>2</v>
      </c>
      <c r="D36" s="7" t="str">
        <f t="shared" ref="D36:I36" si="9">IF($C8&gt;$C$31,D8,"")</f>
        <v>1.NBT.B.2b</v>
      </c>
      <c r="E36" s="47" t="str">
        <f t="shared" si="9"/>
        <v>The numbers from 11 to 19 are composed of a ten and one, two, three, four, five, six, seven, eight, or nine ones</v>
      </c>
      <c r="F36" s="76" t="b">
        <f t="shared" si="9"/>
        <v>0</v>
      </c>
      <c r="G36" s="76" t="b">
        <f t="shared" si="9"/>
        <v>1</v>
      </c>
      <c r="H36" s="76" t="b">
        <f t="shared" si="9"/>
        <v>1</v>
      </c>
      <c r="I36" s="76" t="b">
        <f t="shared" si="9"/>
        <v>0</v>
      </c>
      <c r="J36" s="7"/>
      <c r="K36" s="47" t="str">
        <f t="shared" si="3"/>
        <v>E-This will be applied to future math. A-This assesed.</v>
      </c>
      <c r="L36" s="77" t="b">
        <v>0</v>
      </c>
      <c r="M36" s="7" t="str">
        <f t="shared" ref="M36:U36" si="10">IF($L36=TRUE,C36,"")</f>
        <v/>
      </c>
      <c r="N36" s="7" t="str">
        <f t="shared" si="10"/>
        <v/>
      </c>
      <c r="O36" s="7" t="str">
        <f t="shared" si="10"/>
        <v/>
      </c>
      <c r="P36" s="7" t="str">
        <f t="shared" si="10"/>
        <v/>
      </c>
      <c r="Q36" s="7" t="str">
        <f t="shared" si="10"/>
        <v/>
      </c>
      <c r="R36" s="7" t="str">
        <f t="shared" si="10"/>
        <v/>
      </c>
      <c r="S36" s="7" t="str">
        <f t="shared" si="10"/>
        <v/>
      </c>
      <c r="T36" s="7" t="str">
        <f t="shared" si="10"/>
        <v/>
      </c>
      <c r="U36" s="8" t="str">
        <f t="shared" si="10"/>
        <v/>
      </c>
    </row>
    <row r="37" spans="1:21" ht="37.5" outlineLevel="1">
      <c r="A37" s="208"/>
      <c r="B37" s="210"/>
      <c r="C37" s="21">
        <f t="shared" si="1"/>
        <v>2</v>
      </c>
      <c r="D37" s="7" t="str">
        <f t="shared" ref="D37:I37" si="11">IF($C9&gt;$C$31,D9,"")</f>
        <v>1.NBT.B.2c</v>
      </c>
      <c r="E37" s="47" t="str">
        <f t="shared" si="11"/>
        <v>The numbers 10, 20, 30, 40, 50, 60, 70, 80, 90 refer to one, two, three, four, five, six, seven, eight, or nine tens (and 0 ones).</v>
      </c>
      <c r="F37" s="76" t="b">
        <f t="shared" si="11"/>
        <v>0</v>
      </c>
      <c r="G37" s="76" t="b">
        <f t="shared" si="11"/>
        <v>1</v>
      </c>
      <c r="H37" s="76" t="b">
        <f t="shared" si="11"/>
        <v>1</v>
      </c>
      <c r="I37" s="76" t="b">
        <f t="shared" si="11"/>
        <v>0</v>
      </c>
      <c r="J37" s="7"/>
      <c r="K37" s="47" t="str">
        <f t="shared" si="3"/>
        <v>E- This will be necessary in comporsing and decomposing numbers and addition/subtraction.  A-This is assessed</v>
      </c>
      <c r="L37" s="78" t="b">
        <v>0</v>
      </c>
      <c r="M37" s="7" t="str">
        <f t="shared" ref="M37:U37" si="12">IF($L37=TRUE,C37,"")</f>
        <v/>
      </c>
      <c r="N37" s="7" t="str">
        <f t="shared" si="12"/>
        <v/>
      </c>
      <c r="O37" s="7" t="str">
        <f t="shared" si="12"/>
        <v/>
      </c>
      <c r="P37" s="7" t="str">
        <f t="shared" si="12"/>
        <v/>
      </c>
      <c r="Q37" s="7" t="str">
        <f t="shared" si="12"/>
        <v/>
      </c>
      <c r="R37" s="7" t="str">
        <f t="shared" si="12"/>
        <v/>
      </c>
      <c r="S37" s="7" t="str">
        <f t="shared" si="12"/>
        <v/>
      </c>
      <c r="T37" s="7" t="str">
        <f t="shared" si="12"/>
        <v/>
      </c>
      <c r="U37" s="8" t="str">
        <f t="shared" si="12"/>
        <v/>
      </c>
    </row>
    <row r="38" spans="1:21" ht="37.5" outlineLevel="1">
      <c r="A38" s="208"/>
      <c r="B38" s="211"/>
      <c r="C38" s="27">
        <f t="shared" si="1"/>
        <v>3</v>
      </c>
      <c r="D38" s="7" t="str">
        <f t="shared" ref="D38:I38" si="13">IF($C10&gt;$C$31,D10,"")</f>
        <v>1.NBT.B.3</v>
      </c>
      <c r="E38" s="47" t="str">
        <f t="shared" si="13"/>
        <v>Compare two two-digit numbers based on meanings of the tens and ones digits, recording the results of comparisons with the symbols &gt;, =, and &lt;.</v>
      </c>
      <c r="F38" s="76" t="b">
        <f t="shared" si="13"/>
        <v>1</v>
      </c>
      <c r="G38" s="76" t="b">
        <f t="shared" si="13"/>
        <v>1</v>
      </c>
      <c r="H38" s="76" t="b">
        <f t="shared" si="13"/>
        <v>1</v>
      </c>
      <c r="I38" s="76" t="b">
        <f t="shared" si="13"/>
        <v>0</v>
      </c>
      <c r="J38" s="7"/>
      <c r="K38" s="47" t="str">
        <f t="shared" si="3"/>
        <v>R-This is a foundational skill. A-this is assessed.</v>
      </c>
      <c r="L38" s="77" t="b">
        <v>0</v>
      </c>
      <c r="M38" s="7" t="str">
        <f t="shared" ref="M38:U38" si="14">IF($L38=TRUE,C38,"")</f>
        <v/>
      </c>
      <c r="N38" s="7" t="str">
        <f t="shared" si="14"/>
        <v/>
      </c>
      <c r="O38" s="7" t="str">
        <f t="shared" si="14"/>
        <v/>
      </c>
      <c r="P38" s="7" t="str">
        <f t="shared" si="14"/>
        <v/>
      </c>
      <c r="Q38" s="7" t="str">
        <f t="shared" si="14"/>
        <v/>
      </c>
      <c r="R38" s="7" t="str">
        <f t="shared" si="14"/>
        <v/>
      </c>
      <c r="S38" s="7" t="str">
        <f t="shared" si="14"/>
        <v/>
      </c>
      <c r="T38" s="7" t="str">
        <f t="shared" si="14"/>
        <v/>
      </c>
      <c r="U38" s="8" t="str">
        <f t="shared" si="14"/>
        <v/>
      </c>
    </row>
    <row r="39" spans="1:21" ht="112.5" outlineLevel="1">
      <c r="A39" s="208"/>
      <c r="B39" s="229" t="s">
        <v>130</v>
      </c>
      <c r="C39" s="21">
        <f t="shared" si="1"/>
        <v>4</v>
      </c>
      <c r="D39" s="7" t="str">
        <f t="shared" ref="D39:I39" si="15">IF($C11&gt;$C$31,D11,"")</f>
        <v>1.NBT.C.4</v>
      </c>
      <c r="E39" s="47" t="str">
        <f t="shared" si="15"/>
        <v>Add within 100, including adding a two-digit number and a one-digit number, and adding a two-digit number and a multiple of 10, using concrete models or drawings and strategies based on place value, properties of operations, and/or the relationship between addition and subtraction; relate the strategy to a written method and explain the reasoning used. Understand that in adding two-digit numbers, one adds tens and tens, ones and ones; and sometimes it is necessary to compose a ten.</v>
      </c>
      <c r="F39" s="76" t="b">
        <f t="shared" si="15"/>
        <v>1</v>
      </c>
      <c r="G39" s="76" t="b">
        <f t="shared" si="15"/>
        <v>1</v>
      </c>
      <c r="H39" s="76" t="b">
        <f t="shared" si="15"/>
        <v>1</v>
      </c>
      <c r="I39" s="76" t="b">
        <f t="shared" si="15"/>
        <v>1</v>
      </c>
      <c r="J39" s="7"/>
      <c r="K39" s="47" t="str">
        <f t="shared" si="3"/>
        <v xml:space="preserve">R-This is a foundational skill that will be necessary for 2nd grade. E-This skill will be necessary for any future math. A- This is assessed. L-This will be used in science and social studies. </v>
      </c>
      <c r="L39" s="77" t="b">
        <v>1</v>
      </c>
      <c r="M39" s="7">
        <f t="shared" ref="M39:U39" si="16">IF($L39=TRUE,C39,"")</f>
        <v>4</v>
      </c>
      <c r="N39" s="7" t="str">
        <f t="shared" si="16"/>
        <v>1.NBT.C.4</v>
      </c>
      <c r="O39" s="7" t="str">
        <f t="shared" si="16"/>
        <v>Add within 100, including adding a two-digit number and a one-digit number, and adding a two-digit number and a multiple of 10, using concrete models or drawings and strategies based on place value, properties of operations, and/or the relationship between addition and subtraction; relate the strategy to a written method and explain the reasoning used. Understand that in adding two-digit numbers, one adds tens and tens, ones and ones; and sometimes it is necessary to compose a ten.</v>
      </c>
      <c r="P39" s="7" t="b">
        <f t="shared" si="16"/>
        <v>1</v>
      </c>
      <c r="Q39" s="7" t="b">
        <f t="shared" si="16"/>
        <v>1</v>
      </c>
      <c r="R39" s="7" t="b">
        <f t="shared" si="16"/>
        <v>1</v>
      </c>
      <c r="S39" s="7" t="b">
        <f t="shared" si="16"/>
        <v>1</v>
      </c>
      <c r="T39" s="7">
        <f t="shared" si="16"/>
        <v>0</v>
      </c>
      <c r="U39" s="8" t="str">
        <f t="shared" si="16"/>
        <v xml:space="preserve">R-This is a foundational skill that will be necessary for 2nd grade. E-This skill will be necessary for any future math. A- This is assessed. L-This will be used in science and social studies. </v>
      </c>
    </row>
    <row r="40" spans="1:21" ht="37.5" outlineLevel="1">
      <c r="A40" s="208"/>
      <c r="B40" s="210"/>
      <c r="C40" s="21">
        <f t="shared" si="1"/>
        <v>2</v>
      </c>
      <c r="D40" s="7" t="str">
        <f t="shared" ref="D40:I40" si="17">IF($C12&gt;$C$31,D12,"")</f>
        <v>1.NBT.C.5</v>
      </c>
      <c r="E40" s="47" t="str">
        <f t="shared" si="17"/>
        <v>Given a two-digit number, mentally find 10 more or 10 less than the number, without having to count; explain the reasoning used.</v>
      </c>
      <c r="F40" s="76" t="b">
        <f t="shared" si="17"/>
        <v>0</v>
      </c>
      <c r="G40" s="76" t="b">
        <f t="shared" si="17"/>
        <v>1</v>
      </c>
      <c r="H40" s="76" t="b">
        <f t="shared" si="17"/>
        <v>1</v>
      </c>
      <c r="I40" s="76" t="b">
        <f t="shared" si="17"/>
        <v>0</v>
      </c>
      <c r="J40" s="7"/>
      <c r="K40" s="47" t="str">
        <f t="shared" si="3"/>
        <v>E- This will be very helpful as the math concepts go deeper and the numbers that are being worked with become larger.</v>
      </c>
      <c r="L40" s="78" t="b">
        <v>0</v>
      </c>
      <c r="M40" s="7" t="str">
        <f t="shared" ref="M40:U40" si="18">IF($L40=TRUE,C40,"")</f>
        <v/>
      </c>
      <c r="N40" s="7" t="str">
        <f t="shared" si="18"/>
        <v/>
      </c>
      <c r="O40" s="7" t="str">
        <f t="shared" si="18"/>
        <v/>
      </c>
      <c r="P40" s="7" t="str">
        <f t="shared" si="18"/>
        <v/>
      </c>
      <c r="Q40" s="7" t="str">
        <f t="shared" si="18"/>
        <v/>
      </c>
      <c r="R40" s="7" t="str">
        <f t="shared" si="18"/>
        <v/>
      </c>
      <c r="S40" s="7" t="str">
        <f t="shared" si="18"/>
        <v/>
      </c>
      <c r="T40" s="7" t="str">
        <f t="shared" si="18"/>
        <v/>
      </c>
      <c r="U40" s="8" t="str">
        <f t="shared" si="18"/>
        <v/>
      </c>
    </row>
    <row r="41" spans="1:21" ht="75" outlineLevel="1">
      <c r="A41" s="208"/>
      <c r="B41" s="211"/>
      <c r="C41" s="27">
        <f t="shared" si="1"/>
        <v>2</v>
      </c>
      <c r="D41" s="7" t="str">
        <f t="shared" ref="D41:I41" si="19">IF($C13&gt;$C$31,D13,"")</f>
        <v>1.NBT.C.6</v>
      </c>
      <c r="E41" s="47" t="str">
        <f t="shared" si="19"/>
        <v>Subtract multiples of 10 in the range 10-90 from multiples of 10 in the range 10–90 (positive or zero differences), using concrete models or drawings and strategies based on place value, properties of operations, and/or the relationship between addition and subtraction; relate the strategy to a written method and explain the reasoning used</v>
      </c>
      <c r="F41" s="76" t="b">
        <f t="shared" si="19"/>
        <v>0</v>
      </c>
      <c r="G41" s="76" t="b">
        <f t="shared" si="19"/>
        <v>1</v>
      </c>
      <c r="H41" s="76" t="b">
        <f t="shared" si="19"/>
        <v>1</v>
      </c>
      <c r="I41" s="76" t="b">
        <f t="shared" si="19"/>
        <v>0</v>
      </c>
      <c r="J41" s="7"/>
      <c r="K41" s="47" t="str">
        <f t="shared" si="3"/>
        <v>E-This will be applies when digging into deeper math equations. A-This is Assessed.</v>
      </c>
      <c r="L41" s="78" t="b">
        <v>0</v>
      </c>
      <c r="M41" s="7" t="str">
        <f t="shared" ref="M41:U41" si="20">IF($L41=TRUE,C41,"")</f>
        <v/>
      </c>
      <c r="N41" s="7" t="str">
        <f t="shared" si="20"/>
        <v/>
      </c>
      <c r="O41" s="7" t="str">
        <f t="shared" si="20"/>
        <v/>
      </c>
      <c r="P41" s="7" t="str">
        <f t="shared" si="20"/>
        <v/>
      </c>
      <c r="Q41" s="7" t="str">
        <f t="shared" si="20"/>
        <v/>
      </c>
      <c r="R41" s="7" t="str">
        <f t="shared" si="20"/>
        <v/>
      </c>
      <c r="S41" s="7" t="str">
        <f t="shared" si="20"/>
        <v/>
      </c>
      <c r="T41" s="7" t="str">
        <f t="shared" si="20"/>
        <v/>
      </c>
      <c r="U41" s="8" t="str">
        <f t="shared" si="20"/>
        <v/>
      </c>
    </row>
    <row r="42" spans="1:21" ht="75" outlineLevel="1">
      <c r="A42" s="235" t="s">
        <v>23</v>
      </c>
      <c r="B42" s="228" t="s">
        <v>140</v>
      </c>
      <c r="C42" s="21">
        <f t="shared" si="1"/>
        <v>2</v>
      </c>
      <c r="D42" s="7" t="str">
        <f t="shared" ref="D42:I42" si="21">IF($C14&gt;$C$31,D14,"")</f>
        <v>1.OA.A.1</v>
      </c>
      <c r="E42" s="47" t="str">
        <f t="shared" si="21"/>
        <v>Use addition and subtraction within 20 to solve word problems involving situations of adding to, taking from, putting together, taking apart, and comparing, with unknowns in all positions, e.g., by using objects, drawings, and equations with a symbol for the unknown number to represent the problem.</v>
      </c>
      <c r="F42" s="76" t="b">
        <f t="shared" si="21"/>
        <v>0</v>
      </c>
      <c r="G42" s="76" t="b">
        <f t="shared" si="21"/>
        <v>1</v>
      </c>
      <c r="H42" s="76" t="b">
        <f t="shared" si="21"/>
        <v>1</v>
      </c>
      <c r="I42" s="76" t="b">
        <f t="shared" si="21"/>
        <v>0</v>
      </c>
      <c r="J42" s="7"/>
      <c r="K42" s="47" t="str">
        <f t="shared" si="3"/>
        <v xml:space="preserve">E-This is a foundational skill that will be necessary in being able to do mental math. A-This is assessed. </v>
      </c>
      <c r="L42" s="77" t="b">
        <v>0</v>
      </c>
      <c r="M42" s="7" t="str">
        <f t="shared" ref="M42:U42" si="22">IF($L42=TRUE,C42,"")</f>
        <v/>
      </c>
      <c r="N42" s="7" t="str">
        <f t="shared" si="22"/>
        <v/>
      </c>
      <c r="O42" s="7" t="str">
        <f t="shared" si="22"/>
        <v/>
      </c>
      <c r="P42" s="7" t="str">
        <f t="shared" si="22"/>
        <v/>
      </c>
      <c r="Q42" s="7" t="str">
        <f t="shared" si="22"/>
        <v/>
      </c>
      <c r="R42" s="7" t="str">
        <f t="shared" si="22"/>
        <v/>
      </c>
      <c r="S42" s="7" t="str">
        <f t="shared" si="22"/>
        <v/>
      </c>
      <c r="T42" s="7" t="str">
        <f t="shared" si="22"/>
        <v/>
      </c>
      <c r="U42" s="8" t="str">
        <f t="shared" si="22"/>
        <v/>
      </c>
    </row>
    <row r="43" spans="1:21" ht="50" outlineLevel="1">
      <c r="A43" s="208"/>
      <c r="B43" s="211"/>
      <c r="C43" s="27">
        <f t="shared" si="1"/>
        <v>2</v>
      </c>
      <c r="D43" s="7" t="str">
        <f t="shared" ref="D43:I43" si="23">IF($C15&gt;$C$31,D15,"")</f>
        <v>1.OA.A.2</v>
      </c>
      <c r="E43" s="47" t="str">
        <f t="shared" si="23"/>
        <v>Solve word problems that call for addition of three whole numbers whose sum is less than or equal to 20, e.g., by using objects, drawings, and equations with a symbol for the unknown number to represent the problem.</v>
      </c>
      <c r="F43" s="76" t="b">
        <f t="shared" si="23"/>
        <v>0</v>
      </c>
      <c r="G43" s="76" t="b">
        <f t="shared" si="23"/>
        <v>1</v>
      </c>
      <c r="H43" s="76" t="b">
        <f t="shared" si="23"/>
        <v>1</v>
      </c>
      <c r="I43" s="76" t="b">
        <f t="shared" si="23"/>
        <v>0</v>
      </c>
      <c r="J43" s="7"/>
      <c r="K43" s="47">
        <f t="shared" si="3"/>
        <v>0</v>
      </c>
      <c r="L43" s="78" t="b">
        <v>0</v>
      </c>
      <c r="M43" s="7" t="str">
        <f t="shared" ref="M43:U43" si="24">IF($L43=TRUE,C43,"")</f>
        <v/>
      </c>
      <c r="N43" s="7" t="str">
        <f t="shared" si="24"/>
        <v/>
      </c>
      <c r="O43" s="7" t="str">
        <f t="shared" si="24"/>
        <v/>
      </c>
      <c r="P43" s="7" t="str">
        <f t="shared" si="24"/>
        <v/>
      </c>
      <c r="Q43" s="7" t="str">
        <f t="shared" si="24"/>
        <v/>
      </c>
      <c r="R43" s="7" t="str">
        <f t="shared" si="24"/>
        <v/>
      </c>
      <c r="S43" s="7" t="str">
        <f t="shared" si="24"/>
        <v/>
      </c>
      <c r="T43" s="7" t="str">
        <f t="shared" si="24"/>
        <v/>
      </c>
      <c r="U43" s="8" t="str">
        <f t="shared" si="24"/>
        <v/>
      </c>
    </row>
    <row r="44" spans="1:21" ht="75" outlineLevel="1">
      <c r="A44" s="208"/>
      <c r="B44" s="237" t="s">
        <v>146</v>
      </c>
      <c r="C44" s="21">
        <f t="shared" si="1"/>
        <v>2</v>
      </c>
      <c r="D44" s="7" t="str">
        <f t="shared" ref="D44:I44" si="25">IF($C16&gt;$C$31,D16,"")</f>
        <v>1.OA.B.2</v>
      </c>
      <c r="E44" s="47" t="str">
        <f t="shared" si="25"/>
        <v>Apply properties of operations as strategies to add and subtract. Examples: If 8 + 3 = 11 is known, then 3 + 8 = 11 is also known. (Commutative property of addition.) To add 2 + 6 + 4, the second two numbers can be added to make a ten, so 2 + 6 + 4 = 2 + 10 = 12. (Associative property of addition.)</v>
      </c>
      <c r="F44" s="76" t="b">
        <f t="shared" si="25"/>
        <v>0</v>
      </c>
      <c r="G44" s="76" t="b">
        <f t="shared" si="25"/>
        <v>1</v>
      </c>
      <c r="H44" s="76" t="b">
        <f t="shared" si="25"/>
        <v>1</v>
      </c>
      <c r="I44" s="76" t="b">
        <f t="shared" si="25"/>
        <v>0</v>
      </c>
      <c r="J44" s="7"/>
      <c r="K44" s="47" t="str">
        <f t="shared" si="3"/>
        <v xml:space="preserve">E-the communative property is necessary for deeper math and mental math. A-This is assessed. </v>
      </c>
      <c r="L44" s="77" t="b">
        <v>0</v>
      </c>
      <c r="M44" s="7" t="str">
        <f t="shared" ref="M44:U44" si="26">IF($L44=TRUE,C44,"")</f>
        <v/>
      </c>
      <c r="N44" s="7" t="str">
        <f t="shared" si="26"/>
        <v/>
      </c>
      <c r="O44" s="7" t="str">
        <f t="shared" si="26"/>
        <v/>
      </c>
      <c r="P44" s="7" t="str">
        <f t="shared" si="26"/>
        <v/>
      </c>
      <c r="Q44" s="7" t="str">
        <f t="shared" si="26"/>
        <v/>
      </c>
      <c r="R44" s="7" t="str">
        <f t="shared" si="26"/>
        <v/>
      </c>
      <c r="S44" s="7" t="str">
        <f t="shared" si="26"/>
        <v/>
      </c>
      <c r="T44" s="7" t="str">
        <f t="shared" si="26"/>
        <v/>
      </c>
      <c r="U44" s="8" t="str">
        <f t="shared" si="26"/>
        <v/>
      </c>
    </row>
    <row r="45" spans="1:21" ht="37.5" outlineLevel="1">
      <c r="A45" s="208"/>
      <c r="B45" s="211"/>
      <c r="C45" s="27">
        <f t="shared" si="1"/>
        <v>2</v>
      </c>
      <c r="D45" s="7" t="str">
        <f t="shared" ref="D45:I45" si="27">IF($C17&gt;$C$31,D17,"")</f>
        <v>1.OA.B.4</v>
      </c>
      <c r="E45" s="47" t="str">
        <f t="shared" si="27"/>
        <v>Understand subtraction as an unknown-addend problem. For example, subtract 10 – 8 by finding the number that makes 10 when added to 8.</v>
      </c>
      <c r="F45" s="76" t="b">
        <f t="shared" si="27"/>
        <v>0</v>
      </c>
      <c r="G45" s="76" t="b">
        <f t="shared" si="27"/>
        <v>1</v>
      </c>
      <c r="H45" s="76" t="b">
        <f t="shared" si="27"/>
        <v>1</v>
      </c>
      <c r="I45" s="76" t="b">
        <f t="shared" si="27"/>
        <v>0</v>
      </c>
      <c r="J45" s="7"/>
      <c r="K45" s="47" t="str">
        <f t="shared" si="3"/>
        <v xml:space="preserve">E-This will be necessary to simplify deeper math problems. A-This is assessed. </v>
      </c>
      <c r="L45" s="77" t="b">
        <v>0</v>
      </c>
      <c r="M45" s="7" t="str">
        <f t="shared" ref="M45:U45" si="28">IF($L45=TRUE,C45,"")</f>
        <v/>
      </c>
      <c r="N45" s="7" t="str">
        <f t="shared" si="28"/>
        <v/>
      </c>
      <c r="O45" s="7" t="str">
        <f t="shared" si="28"/>
        <v/>
      </c>
      <c r="P45" s="7" t="str">
        <f t="shared" si="28"/>
        <v/>
      </c>
      <c r="Q45" s="7" t="str">
        <f t="shared" si="28"/>
        <v/>
      </c>
      <c r="R45" s="7" t="str">
        <f t="shared" si="28"/>
        <v/>
      </c>
      <c r="S45" s="7" t="str">
        <f t="shared" si="28"/>
        <v/>
      </c>
      <c r="T45" s="7" t="str">
        <f t="shared" si="28"/>
        <v/>
      </c>
      <c r="U45" s="8" t="str">
        <f t="shared" si="28"/>
        <v/>
      </c>
    </row>
    <row r="46" spans="1:21" ht="37.5" outlineLevel="1">
      <c r="A46" s="208"/>
      <c r="B46" s="236" t="s">
        <v>153</v>
      </c>
      <c r="C46" s="21">
        <f t="shared" si="1"/>
        <v>3</v>
      </c>
      <c r="D46" s="7" t="str">
        <f t="shared" ref="D46:I46" si="29">IF($C18&gt;$C$31,D18,"")</f>
        <v>1.OA.C.5</v>
      </c>
      <c r="E46" s="47" t="str">
        <f t="shared" si="29"/>
        <v>Relate counting to addition and subtraction (e.g., by counting on 2 to add 2).</v>
      </c>
      <c r="F46" s="76" t="b">
        <f t="shared" si="29"/>
        <v>1</v>
      </c>
      <c r="G46" s="76" t="b">
        <f t="shared" si="29"/>
        <v>1</v>
      </c>
      <c r="H46" s="76" t="b">
        <f t="shared" si="29"/>
        <v>1</v>
      </c>
      <c r="I46" s="76" t="b">
        <f t="shared" si="29"/>
        <v>0</v>
      </c>
      <c r="J46" s="7"/>
      <c r="K46" s="47" t="str">
        <f t="shared" si="3"/>
        <v xml:space="preserve">R- This is a foundational skill. E-This is necessary in multiplication, division...ect. A- This is assessed. </v>
      </c>
      <c r="L46" s="78" t="b">
        <v>0</v>
      </c>
      <c r="M46" s="7" t="str">
        <f t="shared" ref="M46:U46" si="30">IF($L46=TRUE,C46,"")</f>
        <v/>
      </c>
      <c r="N46" s="7" t="str">
        <f t="shared" si="30"/>
        <v/>
      </c>
      <c r="O46" s="7" t="str">
        <f t="shared" si="30"/>
        <v/>
      </c>
      <c r="P46" s="7" t="str">
        <f t="shared" si="30"/>
        <v/>
      </c>
      <c r="Q46" s="7" t="str">
        <f t="shared" si="30"/>
        <v/>
      </c>
      <c r="R46" s="7" t="str">
        <f t="shared" si="30"/>
        <v/>
      </c>
      <c r="S46" s="7" t="str">
        <f t="shared" si="30"/>
        <v/>
      </c>
      <c r="T46" s="7" t="str">
        <f t="shared" si="30"/>
        <v/>
      </c>
      <c r="U46" s="8" t="str">
        <f t="shared" si="30"/>
        <v/>
      </c>
    </row>
    <row r="47" spans="1:21" ht="112.5" outlineLevel="1">
      <c r="A47" s="208"/>
      <c r="B47" s="211"/>
      <c r="C47" s="27">
        <f t="shared" si="1"/>
        <v>4</v>
      </c>
      <c r="D47" s="7" t="str">
        <f t="shared" ref="D47:I47" si="31">IF($C19&gt;$C$31,D19,"")</f>
        <v>1.OA.C.6</v>
      </c>
      <c r="E47" s="47" t="str">
        <f t="shared" si="31"/>
        <v>Add and subtract within 20, demonstrating fluency for addition and subtraction within 10.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v>
      </c>
      <c r="F47" s="76" t="b">
        <f t="shared" si="31"/>
        <v>1</v>
      </c>
      <c r="G47" s="76" t="b">
        <f t="shared" si="31"/>
        <v>1</v>
      </c>
      <c r="H47" s="76" t="b">
        <f t="shared" si="31"/>
        <v>1</v>
      </c>
      <c r="I47" s="76" t="b">
        <f t="shared" si="31"/>
        <v>1</v>
      </c>
      <c r="J47" s="7"/>
      <c r="K47" s="47" t="str">
        <f t="shared" si="3"/>
        <v>R-This is a foundational skill. E-This is necessary for deeper math. A-This is assessed. L-social studies</v>
      </c>
      <c r="L47" s="77" t="b">
        <v>1</v>
      </c>
      <c r="M47" s="7">
        <f t="shared" ref="M47:U47" si="32">IF($L47=TRUE,C47,"")</f>
        <v>4</v>
      </c>
      <c r="N47" s="7" t="str">
        <f t="shared" si="32"/>
        <v>1.OA.C.6</v>
      </c>
      <c r="O47" s="7" t="str">
        <f t="shared" si="32"/>
        <v>Add and subtract within 20, demonstrating fluency for addition and subtraction within 10.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v>
      </c>
      <c r="P47" s="7" t="b">
        <f t="shared" si="32"/>
        <v>1</v>
      </c>
      <c r="Q47" s="7" t="b">
        <f t="shared" si="32"/>
        <v>1</v>
      </c>
      <c r="R47" s="7" t="b">
        <f t="shared" si="32"/>
        <v>1</v>
      </c>
      <c r="S47" s="7" t="b">
        <f t="shared" si="32"/>
        <v>1</v>
      </c>
      <c r="T47" s="7">
        <f t="shared" si="32"/>
        <v>0</v>
      </c>
      <c r="U47" s="8" t="str">
        <f t="shared" si="32"/>
        <v>R-This is a foundational skill. E-This is necessary for deeper math. A-This is assessed. L-social studies</v>
      </c>
    </row>
    <row r="48" spans="1:21" ht="62.5" outlineLevel="1">
      <c r="A48" s="208"/>
      <c r="B48" s="236" t="s">
        <v>160</v>
      </c>
      <c r="C48" s="21">
        <f t="shared" si="1"/>
        <v>2</v>
      </c>
      <c r="D48" s="7" t="str">
        <f t="shared" ref="D48:I48" si="33">IF($C20&gt;$C$31,D20,"")</f>
        <v>1.OA.D.7</v>
      </c>
      <c r="E48" s="47" t="str">
        <f t="shared" si="33"/>
        <v>Understand the meaning of the equal sign, and determine if equations involving addition and subtraction are true or false. For example, which of the following equations are true and which are false? 6 = 6, 7 = 8 – 1, 5 + 2 = 2 + 5, 4 + 1 = 5 + 2.</v>
      </c>
      <c r="F48" s="76" t="b">
        <f t="shared" si="33"/>
        <v>0</v>
      </c>
      <c r="G48" s="76" t="b">
        <f t="shared" si="33"/>
        <v>1</v>
      </c>
      <c r="H48" s="76" t="b">
        <f t="shared" si="33"/>
        <v>1</v>
      </c>
      <c r="I48" s="76" t="b">
        <f t="shared" si="33"/>
        <v>0</v>
      </c>
      <c r="J48" s="7"/>
      <c r="K48" s="47" t="str">
        <f t="shared" si="3"/>
        <v>E-This will be necessary for all future math. A-This is assessed.</v>
      </c>
      <c r="L48" s="77" t="b">
        <v>0</v>
      </c>
      <c r="M48" s="7" t="str">
        <f t="shared" ref="M48:U48" si="34">IF($L48=TRUE,C48,"")</f>
        <v/>
      </c>
      <c r="N48" s="7" t="str">
        <f t="shared" si="34"/>
        <v/>
      </c>
      <c r="O48" s="7" t="str">
        <f t="shared" si="34"/>
        <v/>
      </c>
      <c r="P48" s="7" t="str">
        <f t="shared" si="34"/>
        <v/>
      </c>
      <c r="Q48" s="7" t="str">
        <f t="shared" si="34"/>
        <v/>
      </c>
      <c r="R48" s="7" t="str">
        <f t="shared" si="34"/>
        <v/>
      </c>
      <c r="S48" s="7" t="str">
        <f t="shared" si="34"/>
        <v/>
      </c>
      <c r="T48" s="7" t="str">
        <f t="shared" si="34"/>
        <v/>
      </c>
      <c r="U48" s="8" t="str">
        <f t="shared" si="34"/>
        <v/>
      </c>
    </row>
    <row r="49" spans="1:21" ht="62.5" outlineLevel="1">
      <c r="A49" s="208"/>
      <c r="B49" s="211"/>
      <c r="C49" s="27">
        <f t="shared" si="1"/>
        <v>2</v>
      </c>
      <c r="D49" s="7" t="str">
        <f t="shared" ref="D49:I49" si="35">IF($C21&gt;$C$31,D21,"")</f>
        <v>1.OA.D.8</v>
      </c>
      <c r="E49" s="47" t="str">
        <f t="shared" si="35"/>
        <v>Determine the unknown whole number in an addition or subtraction equation relating three whole numbers. For example, determine the unknown number that makes the equation true in each of the equations 8 + ? = 11, 5 = _ – 3, 6 + 6 = _.</v>
      </c>
      <c r="F49" s="76" t="b">
        <f t="shared" si="35"/>
        <v>0</v>
      </c>
      <c r="G49" s="76" t="b">
        <f t="shared" si="35"/>
        <v>1</v>
      </c>
      <c r="H49" s="76" t="b">
        <f t="shared" si="35"/>
        <v>1</v>
      </c>
      <c r="I49" s="76" t="b">
        <f t="shared" si="35"/>
        <v>0</v>
      </c>
      <c r="J49" s="7"/>
      <c r="K49" s="47" t="str">
        <f t="shared" si="3"/>
        <v>E-This is a very helpful skill when manipulating deeper math problems. A- This is assessed.</v>
      </c>
      <c r="L49" s="78" t="b">
        <v>0</v>
      </c>
      <c r="M49" s="7" t="str">
        <f t="shared" ref="M49:U49" si="36">IF($L49=TRUE,C49,"")</f>
        <v/>
      </c>
      <c r="N49" s="7" t="str">
        <f t="shared" si="36"/>
        <v/>
      </c>
      <c r="O49" s="7" t="str">
        <f t="shared" si="36"/>
        <v/>
      </c>
      <c r="P49" s="7" t="str">
        <f t="shared" si="36"/>
        <v/>
      </c>
      <c r="Q49" s="7" t="str">
        <f t="shared" si="36"/>
        <v/>
      </c>
      <c r="R49" s="7" t="str">
        <f t="shared" si="36"/>
        <v/>
      </c>
      <c r="S49" s="7" t="str">
        <f t="shared" si="36"/>
        <v/>
      </c>
      <c r="T49" s="7" t="str">
        <f t="shared" si="36"/>
        <v/>
      </c>
      <c r="U49" s="8" t="str">
        <f t="shared" si="36"/>
        <v/>
      </c>
    </row>
    <row r="50" spans="1:21" ht="50" outlineLevel="1">
      <c r="A50" s="238" t="s">
        <v>39</v>
      </c>
      <c r="B50" s="220" t="s">
        <v>167</v>
      </c>
      <c r="C50" s="21">
        <f t="shared" si="1"/>
        <v>2</v>
      </c>
      <c r="D50" s="7" t="str">
        <f t="shared" ref="D50:I50" si="37">IF($C22&gt;$C$31,D22,"")</f>
        <v>1.G.A.1</v>
      </c>
      <c r="E50" s="47" t="str">
        <f t="shared" si="37"/>
        <v>Distinguish between defining attributes (e.g., triangles are closed and three-sided) versus non-defining attributes (e.g., color, orientation, overall size); build and draw shapes to possess defining attributes.</v>
      </c>
      <c r="F50" s="76" t="b">
        <f t="shared" si="37"/>
        <v>0</v>
      </c>
      <c r="G50" s="76" t="b">
        <f t="shared" si="37"/>
        <v>0</v>
      </c>
      <c r="H50" s="76" t="b">
        <f t="shared" si="37"/>
        <v>1</v>
      </c>
      <c r="I50" s="76" t="b">
        <f t="shared" si="37"/>
        <v>1</v>
      </c>
      <c r="J50" s="7"/>
      <c r="K50" s="47" t="str">
        <f t="shared" si="3"/>
        <v xml:space="preserve">A-This is assessed on the report card and Map. L-Geometry. </v>
      </c>
      <c r="L50" s="78" t="b">
        <v>0</v>
      </c>
      <c r="M50" s="7" t="str">
        <f t="shared" ref="M50:U50" si="38">IF($L50=TRUE,C50,"")</f>
        <v/>
      </c>
      <c r="N50" s="7" t="str">
        <f t="shared" si="38"/>
        <v/>
      </c>
      <c r="O50" s="7" t="str">
        <f t="shared" si="38"/>
        <v/>
      </c>
      <c r="P50" s="7" t="str">
        <f t="shared" si="38"/>
        <v/>
      </c>
      <c r="Q50" s="7" t="str">
        <f t="shared" si="38"/>
        <v/>
      </c>
      <c r="R50" s="7" t="str">
        <f t="shared" si="38"/>
        <v/>
      </c>
      <c r="S50" s="7" t="str">
        <f t="shared" si="38"/>
        <v/>
      </c>
      <c r="T50" s="7" t="str">
        <f t="shared" si="38"/>
        <v/>
      </c>
      <c r="U50" s="8" t="str">
        <f t="shared" si="38"/>
        <v/>
      </c>
    </row>
    <row r="51" spans="1:21" ht="19.5" customHeight="1" outlineLevel="1">
      <c r="A51" s="208"/>
      <c r="B51" s="210"/>
      <c r="C51" s="21">
        <f t="shared" si="1"/>
        <v>2</v>
      </c>
      <c r="D51" s="7" t="str">
        <f t="shared" ref="D51:I51" si="39">IF($C23&gt;$C$31,D23,"")</f>
        <v>1.G.A.2</v>
      </c>
      <c r="E51" s="47" t="str">
        <f t="shared" si="39"/>
        <v>Compose two-dimensional shapes (rectangles, squares, trapezoids, triangles, half-circles, and quartercircles) or three-dimensional shapes (cubes, right rectangular prisms, right circular cones, and right circular cylinders) to create a composite shape, and compose new shapes from the composite shape</v>
      </c>
      <c r="F51" s="76" t="b">
        <f t="shared" si="39"/>
        <v>0</v>
      </c>
      <c r="G51" s="76" t="b">
        <f t="shared" si="39"/>
        <v>1</v>
      </c>
      <c r="H51" s="76" t="b">
        <f t="shared" si="39"/>
        <v>1</v>
      </c>
      <c r="I51" s="76" t="b">
        <f t="shared" si="39"/>
        <v>0</v>
      </c>
      <c r="J51" s="7"/>
      <c r="K51" s="47" t="str">
        <f t="shared" si="3"/>
        <v xml:space="preserve">E-This will be necessary to dig deeper into geometry. A-This is assessed. </v>
      </c>
      <c r="L51" s="77" t="b">
        <v>0</v>
      </c>
      <c r="M51" s="7" t="str">
        <f t="shared" ref="M51:U51" si="40">IF($L51=TRUE,C51,"")</f>
        <v/>
      </c>
      <c r="N51" s="7" t="str">
        <f t="shared" si="40"/>
        <v/>
      </c>
      <c r="O51" s="7" t="str">
        <f t="shared" si="40"/>
        <v/>
      </c>
      <c r="P51" s="7" t="str">
        <f t="shared" si="40"/>
        <v/>
      </c>
      <c r="Q51" s="7" t="str">
        <f t="shared" si="40"/>
        <v/>
      </c>
      <c r="R51" s="7" t="str">
        <f t="shared" si="40"/>
        <v/>
      </c>
      <c r="S51" s="7" t="str">
        <f t="shared" si="40"/>
        <v/>
      </c>
      <c r="T51" s="7" t="str">
        <f t="shared" si="40"/>
        <v/>
      </c>
      <c r="U51" s="8" t="str">
        <f t="shared" si="40"/>
        <v/>
      </c>
    </row>
    <row r="52" spans="1:21" ht="75" outlineLevel="1">
      <c r="A52" s="208"/>
      <c r="B52" s="211"/>
      <c r="C52" s="27">
        <f t="shared" si="1"/>
        <v>2</v>
      </c>
      <c r="D52" s="7" t="str">
        <f t="shared" ref="D52:I52" si="41">IF($C24&gt;$C$31,D24,"")</f>
        <v>1.G.A.3</v>
      </c>
      <c r="E52" s="47" t="str">
        <f t="shared" si="41"/>
        <v>Partition circles and rectangles into two and four equal shares, describe the shares using the words halves, fourths, and quarters, and use the phrases half of, fourth of, and quarter of. Describe the whole as two of, or four of the shares. Understand for these examples that decomposing into more equal shares creates smaller shares.</v>
      </c>
      <c r="F52" s="76" t="b">
        <f t="shared" si="41"/>
        <v>0</v>
      </c>
      <c r="G52" s="76" t="b">
        <f t="shared" si="41"/>
        <v>1</v>
      </c>
      <c r="H52" s="76" t="b">
        <f t="shared" si="41"/>
        <v>1</v>
      </c>
      <c r="I52" s="76" t="b">
        <f t="shared" si="41"/>
        <v>0</v>
      </c>
      <c r="J52" s="7"/>
      <c r="K52" s="47" t="str">
        <f t="shared" si="3"/>
        <v xml:space="preserve">E- This will be necessary in future math when learning fractions. A-This is assessed. </v>
      </c>
      <c r="L52" s="77" t="b">
        <v>0</v>
      </c>
      <c r="M52" s="7" t="str">
        <f t="shared" ref="M52:U52" si="42">IF($L52=TRUE,C52,"")</f>
        <v/>
      </c>
      <c r="N52" s="7" t="str">
        <f t="shared" si="42"/>
        <v/>
      </c>
      <c r="O52" s="7" t="str">
        <f t="shared" si="42"/>
        <v/>
      </c>
      <c r="P52" s="7" t="str">
        <f t="shared" si="42"/>
        <v/>
      </c>
      <c r="Q52" s="7" t="str">
        <f t="shared" si="42"/>
        <v/>
      </c>
      <c r="R52" s="7" t="str">
        <f t="shared" si="42"/>
        <v/>
      </c>
      <c r="S52" s="7" t="str">
        <f t="shared" si="42"/>
        <v/>
      </c>
      <c r="T52" s="7" t="str">
        <f t="shared" si="42"/>
        <v/>
      </c>
      <c r="U52" s="8" t="str">
        <f t="shared" si="42"/>
        <v/>
      </c>
    </row>
    <row r="53" spans="1:21" ht="50" outlineLevel="1">
      <c r="A53" s="239" t="s">
        <v>57</v>
      </c>
      <c r="B53" s="223" t="s">
        <v>177</v>
      </c>
      <c r="C53" s="21">
        <f t="shared" si="1"/>
        <v>3</v>
      </c>
      <c r="D53" s="7" t="str">
        <f t="shared" ref="D53:I53" si="43">IF($C25&gt;$C$31,D25,"")</f>
        <v>1.MD.A.1</v>
      </c>
      <c r="E53" s="47" t="str">
        <f t="shared" si="43"/>
        <v>Order three objects by length; compare the lengths of two objects indirectly by using a third object.</v>
      </c>
      <c r="F53" s="76" t="b">
        <f t="shared" si="43"/>
        <v>0</v>
      </c>
      <c r="G53" s="76" t="b">
        <f t="shared" si="43"/>
        <v>1</v>
      </c>
      <c r="H53" s="76" t="b">
        <f t="shared" si="43"/>
        <v>1</v>
      </c>
      <c r="I53" s="76" t="b">
        <f t="shared" si="43"/>
        <v>1</v>
      </c>
      <c r="J53" s="7"/>
      <c r="K53" s="47" t="str">
        <f t="shared" si="3"/>
        <v xml:space="preserve">E-This will be a necessary skill in order to measure to exact size. A-This is assessed on the report card and map test. L-This skill will be used in categorizing and grouping. </v>
      </c>
      <c r="L53" s="77" t="b">
        <v>0</v>
      </c>
      <c r="M53" s="7" t="str">
        <f t="shared" ref="M53:U53" si="44">IF($L53=TRUE,C53,"")</f>
        <v/>
      </c>
      <c r="N53" s="7" t="str">
        <f t="shared" si="44"/>
        <v/>
      </c>
      <c r="O53" s="7" t="str">
        <f t="shared" si="44"/>
        <v/>
      </c>
      <c r="P53" s="7" t="str">
        <f t="shared" si="44"/>
        <v/>
      </c>
      <c r="Q53" s="7" t="str">
        <f t="shared" si="44"/>
        <v/>
      </c>
      <c r="R53" s="7" t="str">
        <f t="shared" si="44"/>
        <v/>
      </c>
      <c r="S53" s="7" t="str">
        <f t="shared" si="44"/>
        <v/>
      </c>
      <c r="T53" s="7" t="str">
        <f t="shared" si="44"/>
        <v/>
      </c>
      <c r="U53" s="8" t="str">
        <f t="shared" si="44"/>
        <v/>
      </c>
    </row>
    <row r="54" spans="1:21" ht="87.5" outlineLevel="1">
      <c r="A54" s="208"/>
      <c r="B54" s="211"/>
      <c r="C54" s="27">
        <f t="shared" si="1"/>
        <v>3</v>
      </c>
      <c r="D54" s="7" t="str">
        <f t="shared" ref="D54:I54" si="45">IF($C26&gt;$C$31,D26,"")</f>
        <v>1.MD.A.2</v>
      </c>
      <c r="E54" s="47" t="str">
        <f t="shared" si="45"/>
        <v>Express the length of an object as a whole number of length units, by laying multiple copies of a shorter object (the length unit) end to end; understand that the length measurement of an object is the number of same-size length units that span it with no gaps or overlaps. Limit to contexts where the object being measured is spanned by a whole number of length units with no gaps or overlaps.</v>
      </c>
      <c r="F54" s="76" t="b">
        <f t="shared" si="45"/>
        <v>0</v>
      </c>
      <c r="G54" s="76" t="b">
        <f t="shared" si="45"/>
        <v>1</v>
      </c>
      <c r="H54" s="76" t="b">
        <f t="shared" si="45"/>
        <v>1</v>
      </c>
      <c r="I54" s="76" t="b">
        <f t="shared" si="45"/>
        <v>1</v>
      </c>
      <c r="J54" s="7"/>
      <c r="K54" s="47" t="str">
        <f t="shared" si="3"/>
        <v xml:space="preserve">R-This is a readiness standard. E-This will be necessary in learning to measure to approximity. A-This is assessed on the MAP test. L-This will be used in the future for social studies and geometry. </v>
      </c>
      <c r="L54" s="77" t="b">
        <v>1</v>
      </c>
      <c r="M54" s="7">
        <f t="shared" ref="M54:U54" si="46">IF($L54=TRUE,C54,"")</f>
        <v>3</v>
      </c>
      <c r="N54" s="7" t="str">
        <f t="shared" si="46"/>
        <v>1.MD.A.2</v>
      </c>
      <c r="O54" s="7" t="str">
        <f t="shared" si="46"/>
        <v>Express the length of an object as a whole number of length units, by laying multiple copies of a shorter object (the length unit) end to end; understand that the length measurement of an object is the number of same-size length units that span it with no gaps or overlaps. Limit to contexts where the object being measured is spanned by a whole number of length units with no gaps or overlaps.</v>
      </c>
      <c r="P54" s="7" t="b">
        <f t="shared" si="46"/>
        <v>0</v>
      </c>
      <c r="Q54" s="7" t="b">
        <f t="shared" si="46"/>
        <v>1</v>
      </c>
      <c r="R54" s="7" t="b">
        <f t="shared" si="46"/>
        <v>1</v>
      </c>
      <c r="S54" s="7" t="b">
        <f t="shared" si="46"/>
        <v>1</v>
      </c>
      <c r="T54" s="7">
        <f t="shared" si="46"/>
        <v>0</v>
      </c>
      <c r="U54" s="8" t="str">
        <f t="shared" si="46"/>
        <v xml:space="preserve">R-This is a readiness standard. E-This will be necessary in learning to measure to approximity. A-This is assessed on the MAP test. L-This will be used in the future for social studies and geometry. </v>
      </c>
    </row>
    <row r="55" spans="1:21" ht="62.5" outlineLevel="1">
      <c r="A55" s="208"/>
      <c r="B55" s="31" t="s">
        <v>184</v>
      </c>
      <c r="C55" s="27">
        <f t="shared" si="1"/>
        <v>4</v>
      </c>
      <c r="D55" s="7" t="str">
        <f t="shared" ref="D55:I55" si="47">IF($C27&gt;$C$31,D27,"")</f>
        <v>1.MD.B.3</v>
      </c>
      <c r="E55" s="47" t="str">
        <f t="shared" si="47"/>
        <v>Tell and write time in hours and halfhours using analog and digital clocks.</v>
      </c>
      <c r="F55" s="76" t="b">
        <f t="shared" si="47"/>
        <v>1</v>
      </c>
      <c r="G55" s="76" t="b">
        <f t="shared" si="47"/>
        <v>1</v>
      </c>
      <c r="H55" s="76" t="b">
        <f t="shared" si="47"/>
        <v>1</v>
      </c>
      <c r="I55" s="76" t="b">
        <f t="shared" si="47"/>
        <v>1</v>
      </c>
      <c r="J55" s="7"/>
      <c r="K55" s="47" t="str">
        <f t="shared" si="3"/>
        <v>R- This is a readiness standard. E-This will be vauable knowledge when learning to tell time to the second. A-This is assessed on the Map test. L-This will be necessary in everyday life and in self pacing.</v>
      </c>
      <c r="L55" s="77" t="b">
        <v>1</v>
      </c>
      <c r="M55" s="7">
        <f t="shared" ref="M55:U55" si="48">IF($L55=TRUE,C55,"")</f>
        <v>4</v>
      </c>
      <c r="N55" s="7" t="str">
        <f t="shared" si="48"/>
        <v>1.MD.B.3</v>
      </c>
      <c r="O55" s="7" t="str">
        <f t="shared" si="48"/>
        <v>Tell and write time in hours and halfhours using analog and digital clocks.</v>
      </c>
      <c r="P55" s="7" t="b">
        <f t="shared" si="48"/>
        <v>1</v>
      </c>
      <c r="Q55" s="7" t="b">
        <f t="shared" si="48"/>
        <v>1</v>
      </c>
      <c r="R55" s="7" t="b">
        <f t="shared" si="48"/>
        <v>1</v>
      </c>
      <c r="S55" s="7" t="b">
        <f t="shared" si="48"/>
        <v>1</v>
      </c>
      <c r="T55" s="7">
        <f t="shared" si="48"/>
        <v>0</v>
      </c>
      <c r="U55" s="8" t="str">
        <f t="shared" si="48"/>
        <v>R- This is a readiness standard. E-This will be vauable knowledge when learning to tell time to the second. A-This is assessed on the Map test. L-This will be necessary in everyday life and in self pacing.</v>
      </c>
    </row>
    <row r="56" spans="1:21" ht="50" outlineLevel="1">
      <c r="A56" s="206"/>
      <c r="B56" s="72" t="s">
        <v>188</v>
      </c>
      <c r="C56" s="21">
        <f t="shared" si="1"/>
        <v>3</v>
      </c>
      <c r="D56" s="7" t="str">
        <f t="shared" ref="D56:I56" si="49">IF($C28&gt;$C$31,D28,"")</f>
        <v>1.MD.C.4</v>
      </c>
      <c r="E56" s="47" t="str">
        <f t="shared" si="49"/>
        <v>Organize, represent, and interpret data with up to three categories; ask and answer questions about the total number of data points, how many in each category, and how many more or less are in one category than in another.</v>
      </c>
      <c r="F56" s="76" t="b">
        <f t="shared" si="49"/>
        <v>0</v>
      </c>
      <c r="G56" s="76" t="b">
        <f t="shared" si="49"/>
        <v>1</v>
      </c>
      <c r="H56" s="76" t="b">
        <f t="shared" si="49"/>
        <v>1</v>
      </c>
      <c r="I56" s="76" t="b">
        <f t="shared" si="49"/>
        <v>1</v>
      </c>
      <c r="J56" s="7"/>
      <c r="K56" s="47" t="str">
        <f t="shared" si="3"/>
        <v xml:space="preserve">E-This is important for understanding tables. A-This is assessed. L-This will be used in science, social studies, reading... ect. </v>
      </c>
      <c r="L56" s="77" t="b">
        <v>0</v>
      </c>
      <c r="M56" s="7" t="str">
        <f t="shared" ref="M56:U56" si="50">IF($L56=TRUE,C56,"")</f>
        <v/>
      </c>
      <c r="N56" s="7" t="str">
        <f t="shared" si="50"/>
        <v/>
      </c>
      <c r="O56" s="7" t="str">
        <f t="shared" si="50"/>
        <v/>
      </c>
      <c r="P56" s="7" t="str">
        <f t="shared" si="50"/>
        <v/>
      </c>
      <c r="Q56" s="7" t="str">
        <f t="shared" si="50"/>
        <v/>
      </c>
      <c r="R56" s="7" t="str">
        <f t="shared" si="50"/>
        <v/>
      </c>
      <c r="S56" s="7" t="str">
        <f t="shared" si="50"/>
        <v/>
      </c>
      <c r="T56" s="7" t="str">
        <f t="shared" si="50"/>
        <v/>
      </c>
      <c r="U56" s="8" t="str">
        <f t="shared" si="50"/>
        <v/>
      </c>
    </row>
  </sheetData>
  <mergeCells count="32">
    <mergeCell ref="A53:A56"/>
    <mergeCell ref="B53:B54"/>
    <mergeCell ref="A30:B30"/>
    <mergeCell ref="A31:B31"/>
    <mergeCell ref="A32:B32"/>
    <mergeCell ref="A33:A41"/>
    <mergeCell ref="B34:B38"/>
    <mergeCell ref="B39:B41"/>
    <mergeCell ref="A42:A49"/>
    <mergeCell ref="B42:B43"/>
    <mergeCell ref="B44:B45"/>
    <mergeCell ref="B46:B47"/>
    <mergeCell ref="B48:B49"/>
    <mergeCell ref="A50:A52"/>
    <mergeCell ref="B50:B52"/>
    <mergeCell ref="A22:A24"/>
    <mergeCell ref="B22:B24"/>
    <mergeCell ref="A25:A28"/>
    <mergeCell ref="B25:B26"/>
    <mergeCell ref="F30:G30"/>
    <mergeCell ref="B11:B13"/>
    <mergeCell ref="B14:B15"/>
    <mergeCell ref="A2:B2"/>
    <mergeCell ref="C2:K2"/>
    <mergeCell ref="A3:K3"/>
    <mergeCell ref="A4:B4"/>
    <mergeCell ref="A5:A13"/>
    <mergeCell ref="B6:B10"/>
    <mergeCell ref="A14:A21"/>
    <mergeCell ref="B20:B21"/>
    <mergeCell ref="B16:B17"/>
    <mergeCell ref="B18:B19"/>
  </mergeCells>
  <conditionalFormatting sqref="L33">
    <cfRule type="expression" dxfId="59" priority="1">
      <formula>not</formula>
    </cfRule>
  </conditionalFormatting>
  <conditionalFormatting sqref="F33:I56">
    <cfRule type="cellIs" dxfId="58" priority="2" operator="equal">
      <formula>"TRUE"</formula>
    </cfRule>
  </conditionalFormatting>
  <conditionalFormatting sqref="F33:I56">
    <cfRule type="cellIs" dxfId="57" priority="3" operator="equal">
      <formula>"FALSE"</formula>
    </cfRule>
  </conditionalFormatting>
  <conditionalFormatting sqref="C5:C28 C33:C56">
    <cfRule type="cellIs" dxfId="56" priority="4" operator="equal">
      <formula>0</formula>
    </cfRule>
  </conditionalFormatting>
  <conditionalFormatting sqref="C5:C28 C33:C56">
    <cfRule type="cellIs" dxfId="55" priority="5" operator="equal">
      <formula>1</formula>
    </cfRule>
  </conditionalFormatting>
  <conditionalFormatting sqref="C5:C28 C33:C56">
    <cfRule type="cellIs" dxfId="54" priority="6" operator="equal">
      <formula>2</formula>
    </cfRule>
  </conditionalFormatting>
  <conditionalFormatting sqref="C5:C28 C33:C56">
    <cfRule type="cellIs" dxfId="53" priority="7" operator="equal">
      <formula>3</formula>
    </cfRule>
  </conditionalFormatting>
  <conditionalFormatting sqref="C5:C28 C33:C56">
    <cfRule type="cellIs" dxfId="52" priority="8" operator="equal">
      <formula>4</formula>
    </cfRule>
  </conditionalFormatting>
  <conditionalFormatting sqref="D30">
    <cfRule type="expression" dxfId="51" priority="9">
      <formula>D30&lt;=K30</formula>
    </cfRule>
  </conditionalFormatting>
  <conditionalFormatting sqref="D30">
    <cfRule type="expression" dxfId="50" priority="10">
      <formula>D30&gt;K30</formula>
    </cfRule>
  </conditionalFormatting>
  <printOptions horizontalCentered="1" gridLines="1"/>
  <pageMargins left="0.7" right="0.7" top="0.75" bottom="0.75" header="0" footer="0"/>
  <pageSetup fitToHeight="0" pageOrder="overThenDown" orientation="landscape" cellComments="atEnd"/>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E599"/>
    <outlinePr summaryBelow="0" summaryRight="0"/>
    <pageSetUpPr fitToPage="1"/>
  </sheetPr>
  <dimension ref="A1:U70"/>
  <sheetViews>
    <sheetView workbookViewId="0">
      <pane ySplit="3" topLeftCell="A4" activePane="bottomLeft" state="frozen"/>
      <selection pane="bottomLeft" activeCell="B5" sqref="B5"/>
    </sheetView>
  </sheetViews>
  <sheetFormatPr defaultColWidth="12.6328125" defaultRowHeight="15.75" customHeight="1" outlineLevelRow="1" outlineLevelCol="1"/>
  <cols>
    <col min="1" max="1" width="4.453125" customWidth="1"/>
    <col min="2" max="2" width="13.90625" customWidth="1"/>
    <col min="3" max="3" width="4.26953125" customWidth="1"/>
    <col min="4" max="4" width="9.453125" customWidth="1"/>
    <col min="5" max="5" width="50.08984375" customWidth="1"/>
    <col min="6" max="9" width="2.6328125" customWidth="1"/>
    <col min="10" max="10" width="0.7265625" customWidth="1"/>
    <col min="11" max="11" width="37.6328125" customWidth="1"/>
    <col min="12" max="12" width="7.453125" customWidth="1"/>
    <col min="13" max="21" width="12.6328125" outlineLevel="1"/>
  </cols>
  <sheetData>
    <row r="1" spans="1:21" ht="4.5" customHeight="1">
      <c r="A1" s="5"/>
      <c r="B1" s="6"/>
      <c r="C1" s="6"/>
      <c r="D1" s="6"/>
      <c r="E1" s="6"/>
      <c r="F1" s="6"/>
      <c r="G1" s="6"/>
      <c r="H1" s="6"/>
      <c r="I1" s="6"/>
      <c r="J1" s="6"/>
      <c r="K1" s="6"/>
      <c r="L1" s="7"/>
      <c r="M1" s="7"/>
      <c r="N1" s="7"/>
      <c r="O1" s="7"/>
      <c r="P1" s="7"/>
      <c r="Q1" s="7"/>
      <c r="R1" s="7"/>
      <c r="S1" s="7"/>
      <c r="T1" s="7"/>
      <c r="U1" s="8"/>
    </row>
    <row r="2" spans="1:21" ht="13" outlineLevel="1">
      <c r="A2" s="202" t="s">
        <v>6</v>
      </c>
      <c r="B2" s="203"/>
      <c r="C2" s="230" t="s">
        <v>7</v>
      </c>
      <c r="D2" s="203"/>
      <c r="E2" s="203"/>
      <c r="F2" s="203"/>
      <c r="G2" s="203"/>
      <c r="H2" s="203"/>
      <c r="I2" s="203"/>
      <c r="J2" s="203"/>
      <c r="K2" s="203"/>
      <c r="L2" s="7"/>
      <c r="M2" s="7"/>
      <c r="N2" s="7"/>
      <c r="O2" s="7"/>
      <c r="P2" s="7"/>
      <c r="Q2" s="7"/>
      <c r="R2" s="7"/>
      <c r="S2" s="7"/>
      <c r="T2" s="7"/>
      <c r="U2" s="8"/>
    </row>
    <row r="3" spans="1:21" ht="15.5">
      <c r="A3" s="231" t="s">
        <v>192</v>
      </c>
      <c r="B3" s="203"/>
      <c r="C3" s="203"/>
      <c r="D3" s="203"/>
      <c r="E3" s="203"/>
      <c r="F3" s="203"/>
      <c r="G3" s="203"/>
      <c r="H3" s="203"/>
      <c r="I3" s="203"/>
      <c r="J3" s="203"/>
      <c r="K3" s="206"/>
      <c r="L3" s="79"/>
      <c r="M3" s="79"/>
      <c r="N3" s="79"/>
      <c r="O3" s="79"/>
      <c r="P3" s="79"/>
      <c r="Q3" s="79"/>
      <c r="R3" s="79"/>
      <c r="S3" s="79"/>
      <c r="T3" s="79"/>
      <c r="U3" s="80"/>
    </row>
    <row r="4" spans="1:21" ht="15.5" outlineLevel="1">
      <c r="A4" s="232" t="s">
        <v>9</v>
      </c>
      <c r="B4" s="206"/>
      <c r="C4" s="51" t="s">
        <v>10</v>
      </c>
      <c r="D4" s="81" t="s">
        <v>11</v>
      </c>
      <c r="E4" s="53" t="s">
        <v>12</v>
      </c>
      <c r="F4" s="51" t="s">
        <v>13</v>
      </c>
      <c r="G4" s="51" t="s">
        <v>14</v>
      </c>
      <c r="H4" s="54" t="s">
        <v>15</v>
      </c>
      <c r="I4" s="51" t="s">
        <v>16</v>
      </c>
      <c r="J4" s="51"/>
      <c r="K4" s="51" t="s">
        <v>17</v>
      </c>
      <c r="L4" s="79"/>
      <c r="M4" s="79"/>
      <c r="N4" s="79"/>
      <c r="O4" s="79"/>
      <c r="P4" s="79"/>
      <c r="Q4" s="79"/>
      <c r="R4" s="79"/>
      <c r="S4" s="79"/>
      <c r="T4" s="79"/>
      <c r="U4" s="80"/>
    </row>
    <row r="5" spans="1:21" ht="50" outlineLevel="1">
      <c r="A5" s="240" t="s">
        <v>18</v>
      </c>
      <c r="B5" s="14" t="s">
        <v>114</v>
      </c>
      <c r="C5" s="27">
        <f t="shared" ref="C5:C32" si="0">COUNTIF(F5:I5,TRUE)</f>
        <v>4</v>
      </c>
      <c r="D5" s="55" t="s">
        <v>193</v>
      </c>
      <c r="E5" s="82" t="s">
        <v>194</v>
      </c>
      <c r="F5" s="18" t="b">
        <v>1</v>
      </c>
      <c r="G5" s="19" t="b">
        <v>1</v>
      </c>
      <c r="H5" s="19" t="b">
        <v>1</v>
      </c>
      <c r="I5" s="19" t="b">
        <v>1</v>
      </c>
      <c r="J5" s="28"/>
      <c r="K5" s="20" t="s">
        <v>195</v>
      </c>
      <c r="L5" s="79"/>
      <c r="M5" s="79"/>
      <c r="N5" s="79"/>
      <c r="O5" s="79"/>
      <c r="P5" s="79"/>
      <c r="Q5" s="79"/>
      <c r="R5" s="79"/>
      <c r="S5" s="79"/>
      <c r="T5" s="79"/>
      <c r="U5" s="80"/>
    </row>
    <row r="6" spans="1:21" ht="62.5" outlineLevel="1">
      <c r="A6" s="210"/>
      <c r="B6" s="234" t="s">
        <v>114</v>
      </c>
      <c r="C6" s="21">
        <f t="shared" si="0"/>
        <v>3</v>
      </c>
      <c r="D6" s="43" t="s">
        <v>196</v>
      </c>
      <c r="E6" s="83" t="s">
        <v>197</v>
      </c>
      <c r="F6" s="24" t="b">
        <v>1</v>
      </c>
      <c r="G6" s="25" t="b">
        <v>1</v>
      </c>
      <c r="H6" s="25" t="b">
        <v>1</v>
      </c>
      <c r="I6" s="25" t="b">
        <v>0</v>
      </c>
      <c r="J6" s="26"/>
      <c r="K6" s="34" t="s">
        <v>198</v>
      </c>
      <c r="L6" s="79"/>
      <c r="M6" s="79"/>
      <c r="N6" s="79"/>
      <c r="O6" s="79"/>
      <c r="P6" s="79"/>
      <c r="Q6" s="79"/>
      <c r="R6" s="79"/>
      <c r="S6" s="79"/>
      <c r="T6" s="79"/>
      <c r="U6" s="80"/>
    </row>
    <row r="7" spans="1:21" ht="37.5" outlineLevel="1">
      <c r="A7" s="210"/>
      <c r="B7" s="210"/>
      <c r="C7" s="21">
        <f t="shared" si="0"/>
        <v>0</v>
      </c>
      <c r="D7" s="43" t="s">
        <v>199</v>
      </c>
      <c r="E7" s="83" t="s">
        <v>200</v>
      </c>
      <c r="F7" s="24" t="b">
        <v>0</v>
      </c>
      <c r="G7" s="25" t="b">
        <v>0</v>
      </c>
      <c r="H7" s="25" t="b">
        <v>0</v>
      </c>
      <c r="I7" s="25" t="b">
        <v>0</v>
      </c>
      <c r="J7" s="26"/>
      <c r="K7" s="34"/>
      <c r="L7" s="79"/>
      <c r="M7" s="79"/>
      <c r="N7" s="79"/>
      <c r="O7" s="79"/>
      <c r="P7" s="79"/>
      <c r="Q7" s="79"/>
      <c r="R7" s="79"/>
      <c r="S7" s="79"/>
      <c r="T7" s="79"/>
      <c r="U7" s="80"/>
    </row>
    <row r="8" spans="1:21" ht="112.5" outlineLevel="1">
      <c r="A8" s="210"/>
      <c r="B8" s="210"/>
      <c r="C8" s="21">
        <f t="shared" si="0"/>
        <v>3</v>
      </c>
      <c r="D8" s="43" t="s">
        <v>201</v>
      </c>
      <c r="E8" s="83" t="s">
        <v>202</v>
      </c>
      <c r="F8" s="24" t="b">
        <v>1</v>
      </c>
      <c r="G8" s="25" t="b">
        <v>1</v>
      </c>
      <c r="H8" s="25" t="b">
        <v>1</v>
      </c>
      <c r="I8" s="25" t="b">
        <v>0</v>
      </c>
      <c r="J8" s="26"/>
      <c r="K8" s="34" t="s">
        <v>203</v>
      </c>
      <c r="L8" s="79"/>
      <c r="M8" s="79"/>
      <c r="N8" s="79"/>
      <c r="O8" s="79"/>
      <c r="P8" s="79"/>
      <c r="Q8" s="79"/>
      <c r="R8" s="79"/>
      <c r="S8" s="79"/>
      <c r="T8" s="79"/>
      <c r="U8" s="80"/>
    </row>
    <row r="9" spans="1:21" ht="62.5" outlineLevel="1">
      <c r="A9" s="210"/>
      <c r="B9" s="210"/>
      <c r="C9" s="21">
        <f t="shared" si="0"/>
        <v>3</v>
      </c>
      <c r="D9" s="43" t="s">
        <v>204</v>
      </c>
      <c r="E9" s="83" t="s">
        <v>205</v>
      </c>
      <c r="F9" s="24" t="b">
        <v>1</v>
      </c>
      <c r="G9" s="25" t="b">
        <v>1</v>
      </c>
      <c r="H9" s="25" t="b">
        <v>1</v>
      </c>
      <c r="I9" s="26" t="b">
        <v>0</v>
      </c>
      <c r="J9" s="26"/>
      <c r="K9" s="34" t="s">
        <v>206</v>
      </c>
      <c r="L9" s="79"/>
      <c r="M9" s="79"/>
      <c r="N9" s="79"/>
      <c r="O9" s="79"/>
      <c r="P9" s="79"/>
      <c r="Q9" s="79"/>
      <c r="R9" s="79"/>
      <c r="S9" s="79"/>
      <c r="T9" s="79"/>
      <c r="U9" s="80"/>
    </row>
    <row r="10" spans="1:21" ht="37.5" outlineLevel="1">
      <c r="A10" s="210"/>
      <c r="B10" s="211"/>
      <c r="C10" s="27">
        <f t="shared" si="0"/>
        <v>1</v>
      </c>
      <c r="D10" s="55" t="s">
        <v>207</v>
      </c>
      <c r="E10" s="82" t="s">
        <v>208</v>
      </c>
      <c r="F10" s="18" t="b">
        <v>1</v>
      </c>
      <c r="G10" s="19" t="b">
        <v>0</v>
      </c>
      <c r="H10" s="19" t="b">
        <v>0</v>
      </c>
      <c r="I10" s="19" t="b">
        <v>0</v>
      </c>
      <c r="J10" s="28"/>
      <c r="K10" s="20" t="s">
        <v>209</v>
      </c>
      <c r="L10" s="79"/>
      <c r="M10" s="79"/>
      <c r="N10" s="79"/>
      <c r="O10" s="79"/>
      <c r="P10" s="79"/>
      <c r="Q10" s="79"/>
      <c r="R10" s="79"/>
      <c r="S10" s="79"/>
      <c r="T10" s="79"/>
      <c r="U10" s="80"/>
    </row>
    <row r="11" spans="1:21" ht="87.5" outlineLevel="1">
      <c r="A11" s="210"/>
      <c r="B11" s="229" t="s">
        <v>130</v>
      </c>
      <c r="C11" s="21">
        <f t="shared" si="0"/>
        <v>4</v>
      </c>
      <c r="D11" s="43" t="s">
        <v>210</v>
      </c>
      <c r="E11" s="83" t="s">
        <v>211</v>
      </c>
      <c r="F11" s="24" t="b">
        <v>1</v>
      </c>
      <c r="G11" s="25" t="b">
        <v>1</v>
      </c>
      <c r="H11" s="25" t="b">
        <v>1</v>
      </c>
      <c r="I11" s="25" t="b">
        <v>1</v>
      </c>
      <c r="J11" s="26"/>
      <c r="K11" s="34" t="s">
        <v>212</v>
      </c>
      <c r="L11" s="79"/>
      <c r="M11" s="79"/>
      <c r="N11" s="79"/>
      <c r="O11" s="79"/>
      <c r="P11" s="79"/>
      <c r="Q11" s="79"/>
      <c r="R11" s="79"/>
      <c r="S11" s="79"/>
      <c r="T11" s="79"/>
      <c r="U11" s="80"/>
    </row>
    <row r="12" spans="1:21" ht="25" outlineLevel="1">
      <c r="A12" s="210"/>
      <c r="B12" s="210"/>
      <c r="C12" s="21">
        <f t="shared" si="0"/>
        <v>1</v>
      </c>
      <c r="D12" s="43" t="s">
        <v>213</v>
      </c>
      <c r="E12" s="83" t="s">
        <v>214</v>
      </c>
      <c r="F12" s="24" t="b">
        <v>1</v>
      </c>
      <c r="G12" s="26" t="b">
        <v>0</v>
      </c>
      <c r="H12" s="26" t="b">
        <v>0</v>
      </c>
      <c r="I12" s="26" t="b">
        <v>0</v>
      </c>
      <c r="J12" s="26"/>
      <c r="K12" s="20" t="s">
        <v>209</v>
      </c>
      <c r="L12" s="79"/>
      <c r="M12" s="79"/>
      <c r="N12" s="79"/>
      <c r="O12" s="79"/>
      <c r="P12" s="79"/>
      <c r="Q12" s="79"/>
      <c r="R12" s="79"/>
      <c r="S12" s="79"/>
      <c r="T12" s="79"/>
      <c r="U12" s="80"/>
    </row>
    <row r="13" spans="1:21" ht="100" outlineLevel="1">
      <c r="A13" s="210"/>
      <c r="B13" s="210"/>
      <c r="C13" s="21">
        <f t="shared" si="0"/>
        <v>4</v>
      </c>
      <c r="D13" s="43" t="s">
        <v>215</v>
      </c>
      <c r="E13" s="83" t="s">
        <v>216</v>
      </c>
      <c r="F13" s="24" t="b">
        <v>1</v>
      </c>
      <c r="G13" s="25" t="b">
        <v>1</v>
      </c>
      <c r="H13" s="25" t="b">
        <v>1</v>
      </c>
      <c r="I13" s="25" t="b">
        <v>1</v>
      </c>
      <c r="J13" s="26"/>
      <c r="K13" s="34" t="s">
        <v>212</v>
      </c>
      <c r="L13" s="79"/>
      <c r="M13" s="79"/>
      <c r="N13" s="79"/>
      <c r="O13" s="79"/>
      <c r="P13" s="79"/>
      <c r="Q13" s="79"/>
      <c r="R13" s="79"/>
      <c r="S13" s="79"/>
      <c r="T13" s="79"/>
      <c r="U13" s="80"/>
    </row>
    <row r="14" spans="1:21" ht="75" outlineLevel="1">
      <c r="A14" s="210"/>
      <c r="B14" s="210"/>
      <c r="C14" s="21">
        <f t="shared" si="0"/>
        <v>3</v>
      </c>
      <c r="D14" s="43" t="s">
        <v>217</v>
      </c>
      <c r="E14" s="83" t="s">
        <v>218</v>
      </c>
      <c r="F14" s="24" t="b">
        <v>1</v>
      </c>
      <c r="G14" s="25" t="b">
        <v>1</v>
      </c>
      <c r="H14" s="25" t="b">
        <v>1</v>
      </c>
      <c r="I14" s="26" t="b">
        <v>0</v>
      </c>
      <c r="J14" s="26"/>
      <c r="K14" s="34" t="s">
        <v>219</v>
      </c>
      <c r="L14" s="79"/>
      <c r="M14" s="79"/>
      <c r="N14" s="79"/>
      <c r="O14" s="79"/>
      <c r="P14" s="79"/>
      <c r="Q14" s="79"/>
      <c r="R14" s="79"/>
      <c r="S14" s="79"/>
      <c r="T14" s="79"/>
      <c r="U14" s="80"/>
    </row>
    <row r="15" spans="1:21" ht="25" outlineLevel="1">
      <c r="A15" s="211"/>
      <c r="B15" s="211"/>
      <c r="C15" s="27">
        <f t="shared" si="0"/>
        <v>1</v>
      </c>
      <c r="D15" s="71" t="s">
        <v>220</v>
      </c>
      <c r="E15" s="82" t="s">
        <v>221</v>
      </c>
      <c r="F15" s="18" t="b">
        <v>1</v>
      </c>
      <c r="G15" s="19" t="b">
        <v>0</v>
      </c>
      <c r="H15" s="28" t="b">
        <v>0</v>
      </c>
      <c r="I15" s="28" t="b">
        <v>0</v>
      </c>
      <c r="J15" s="28"/>
      <c r="K15" s="20" t="s">
        <v>209</v>
      </c>
      <c r="L15" s="79"/>
      <c r="M15" s="79"/>
      <c r="N15" s="79"/>
      <c r="O15" s="79"/>
      <c r="P15" s="79"/>
      <c r="Q15" s="79"/>
      <c r="R15" s="79"/>
      <c r="S15" s="79"/>
      <c r="T15" s="79"/>
      <c r="U15" s="80"/>
    </row>
    <row r="16" spans="1:21" ht="87.5" outlineLevel="1">
      <c r="A16" s="209" t="s">
        <v>23</v>
      </c>
      <c r="B16" s="84" t="s">
        <v>140</v>
      </c>
      <c r="C16" s="27">
        <f t="shared" si="0"/>
        <v>4</v>
      </c>
      <c r="D16" s="55" t="s">
        <v>222</v>
      </c>
      <c r="E16" s="82" t="s">
        <v>223</v>
      </c>
      <c r="F16" s="18" t="b">
        <v>1</v>
      </c>
      <c r="G16" s="19" t="b">
        <v>1</v>
      </c>
      <c r="H16" s="19" t="b">
        <v>1</v>
      </c>
      <c r="I16" s="19" t="b">
        <v>1</v>
      </c>
      <c r="J16" s="28"/>
      <c r="K16" s="20" t="s">
        <v>224</v>
      </c>
      <c r="L16" s="79"/>
      <c r="M16" s="79"/>
      <c r="N16" s="79"/>
      <c r="O16" s="79"/>
      <c r="P16" s="79"/>
      <c r="Q16" s="79"/>
      <c r="R16" s="79"/>
      <c r="S16" s="79"/>
      <c r="T16" s="79"/>
      <c r="U16" s="80"/>
    </row>
    <row r="17" spans="1:21" ht="50" outlineLevel="1">
      <c r="A17" s="210"/>
      <c r="B17" s="85" t="s">
        <v>153</v>
      </c>
      <c r="C17" s="27">
        <f t="shared" si="0"/>
        <v>3</v>
      </c>
      <c r="D17" s="55" t="s">
        <v>225</v>
      </c>
      <c r="E17" s="82" t="s">
        <v>226</v>
      </c>
      <c r="F17" s="18" t="b">
        <v>1</v>
      </c>
      <c r="G17" s="19" t="b">
        <v>1</v>
      </c>
      <c r="H17" s="19" t="b">
        <v>0</v>
      </c>
      <c r="I17" s="19" t="b">
        <v>1</v>
      </c>
      <c r="J17" s="28"/>
      <c r="K17" s="20" t="s">
        <v>227</v>
      </c>
      <c r="L17" s="79"/>
      <c r="M17" s="79"/>
      <c r="N17" s="79"/>
      <c r="O17" s="79"/>
      <c r="P17" s="79"/>
      <c r="Q17" s="79"/>
      <c r="R17" s="79"/>
      <c r="S17" s="79"/>
      <c r="T17" s="79"/>
      <c r="U17" s="80"/>
    </row>
    <row r="18" spans="1:21" ht="50" outlineLevel="1">
      <c r="A18" s="210"/>
      <c r="B18" s="236" t="s">
        <v>228</v>
      </c>
      <c r="C18" s="21">
        <f t="shared" si="0"/>
        <v>1</v>
      </c>
      <c r="D18" s="43" t="s">
        <v>229</v>
      </c>
      <c r="E18" s="83" t="s">
        <v>230</v>
      </c>
      <c r="F18" s="24" t="b">
        <v>1</v>
      </c>
      <c r="G18" s="26" t="b">
        <v>0</v>
      </c>
      <c r="H18" s="26" t="b">
        <v>0</v>
      </c>
      <c r="I18" s="26" t="b">
        <v>0</v>
      </c>
      <c r="J18" s="26"/>
      <c r="K18" s="20" t="s">
        <v>209</v>
      </c>
      <c r="L18" s="79"/>
      <c r="M18" s="79"/>
      <c r="N18" s="79"/>
      <c r="O18" s="79"/>
      <c r="P18" s="79"/>
      <c r="Q18" s="79"/>
      <c r="R18" s="79"/>
      <c r="S18" s="79"/>
      <c r="T18" s="79"/>
      <c r="U18" s="80"/>
    </row>
    <row r="19" spans="1:21" ht="50" outlineLevel="1">
      <c r="A19" s="211"/>
      <c r="B19" s="211"/>
      <c r="C19" s="27">
        <f t="shared" si="0"/>
        <v>3</v>
      </c>
      <c r="D19" s="55" t="s">
        <v>231</v>
      </c>
      <c r="E19" s="82" t="s">
        <v>232</v>
      </c>
      <c r="F19" s="18" t="b">
        <v>1</v>
      </c>
      <c r="G19" s="19" t="b">
        <v>1</v>
      </c>
      <c r="H19" s="19" t="b">
        <v>1</v>
      </c>
      <c r="I19" s="19" t="b">
        <v>0</v>
      </c>
      <c r="J19" s="28"/>
      <c r="K19" s="20" t="s">
        <v>233</v>
      </c>
      <c r="L19" s="79"/>
      <c r="M19" s="79"/>
      <c r="N19" s="79"/>
      <c r="O19" s="79"/>
      <c r="P19" s="79"/>
      <c r="Q19" s="79"/>
      <c r="R19" s="79"/>
      <c r="S19" s="79"/>
      <c r="T19" s="79"/>
      <c r="U19" s="80"/>
    </row>
    <row r="20" spans="1:21" ht="62.5" outlineLevel="1">
      <c r="A20" s="215" t="s">
        <v>39</v>
      </c>
      <c r="B20" s="220" t="s">
        <v>167</v>
      </c>
      <c r="C20" s="21">
        <f t="shared" si="0"/>
        <v>4</v>
      </c>
      <c r="D20" s="43" t="s">
        <v>234</v>
      </c>
      <c r="E20" s="83" t="s">
        <v>235</v>
      </c>
      <c r="F20" s="24" t="b">
        <v>1</v>
      </c>
      <c r="G20" s="25" t="b">
        <v>1</v>
      </c>
      <c r="H20" s="25" t="b">
        <v>1</v>
      </c>
      <c r="I20" s="25" t="b">
        <v>1</v>
      </c>
      <c r="J20" s="26"/>
      <c r="K20" s="34" t="s">
        <v>236</v>
      </c>
      <c r="L20" s="79"/>
      <c r="M20" s="79"/>
      <c r="N20" s="79"/>
      <c r="O20" s="79"/>
      <c r="P20" s="79"/>
      <c r="Q20" s="79"/>
      <c r="R20" s="79"/>
      <c r="S20" s="79"/>
      <c r="T20" s="79"/>
      <c r="U20" s="80"/>
    </row>
    <row r="21" spans="1:21" ht="25" outlineLevel="1">
      <c r="A21" s="210"/>
      <c r="B21" s="210"/>
      <c r="C21" s="21">
        <f t="shared" si="0"/>
        <v>1</v>
      </c>
      <c r="D21" s="43" t="s">
        <v>237</v>
      </c>
      <c r="E21" s="83" t="s">
        <v>238</v>
      </c>
      <c r="F21" s="24" t="b">
        <v>1</v>
      </c>
      <c r="G21" s="26" t="b">
        <v>0</v>
      </c>
      <c r="H21" s="25" t="b">
        <v>0</v>
      </c>
      <c r="I21" s="26" t="b">
        <v>0</v>
      </c>
      <c r="J21" s="26"/>
      <c r="K21" s="20" t="s">
        <v>209</v>
      </c>
      <c r="L21" s="79"/>
      <c r="M21" s="79"/>
      <c r="N21" s="79"/>
      <c r="O21" s="79"/>
      <c r="P21" s="79"/>
      <c r="Q21" s="79"/>
      <c r="R21" s="79"/>
      <c r="S21" s="79"/>
      <c r="T21" s="79"/>
      <c r="U21" s="80"/>
    </row>
    <row r="22" spans="1:21" ht="62.5" outlineLevel="1">
      <c r="A22" s="211"/>
      <c r="B22" s="211"/>
      <c r="C22" s="27">
        <f t="shared" si="0"/>
        <v>4</v>
      </c>
      <c r="D22" s="55" t="s">
        <v>239</v>
      </c>
      <c r="E22" s="82" t="s">
        <v>240</v>
      </c>
      <c r="F22" s="18" t="b">
        <v>1</v>
      </c>
      <c r="G22" s="19" t="b">
        <v>1</v>
      </c>
      <c r="H22" s="19" t="b">
        <v>1</v>
      </c>
      <c r="I22" s="19" t="b">
        <v>1</v>
      </c>
      <c r="J22" s="28"/>
      <c r="K22" s="20" t="s">
        <v>241</v>
      </c>
      <c r="L22" s="79"/>
      <c r="M22" s="79"/>
      <c r="N22" s="79"/>
      <c r="O22" s="79"/>
      <c r="P22" s="79"/>
      <c r="Q22" s="79"/>
      <c r="R22" s="79"/>
      <c r="S22" s="79"/>
      <c r="T22" s="79"/>
      <c r="U22" s="80"/>
    </row>
    <row r="23" spans="1:21" ht="37.5" outlineLevel="1">
      <c r="A23" s="222" t="s">
        <v>57</v>
      </c>
      <c r="B23" s="243" t="s">
        <v>242</v>
      </c>
      <c r="C23" s="21">
        <f t="shared" si="0"/>
        <v>3</v>
      </c>
      <c r="D23" s="43" t="s">
        <v>243</v>
      </c>
      <c r="E23" s="83" t="s">
        <v>244</v>
      </c>
      <c r="F23" s="24" t="b">
        <v>1</v>
      </c>
      <c r="G23" s="25" t="b">
        <v>0</v>
      </c>
      <c r="H23" s="25" t="b">
        <v>1</v>
      </c>
      <c r="I23" s="25" t="b">
        <v>1</v>
      </c>
      <c r="J23" s="26"/>
      <c r="K23" s="34" t="s">
        <v>245</v>
      </c>
      <c r="L23" s="79"/>
      <c r="M23" s="79"/>
      <c r="N23" s="79"/>
      <c r="O23" s="79"/>
      <c r="P23" s="79"/>
      <c r="Q23" s="79"/>
      <c r="R23" s="79"/>
      <c r="S23" s="79"/>
      <c r="T23" s="79"/>
      <c r="U23" s="80"/>
    </row>
    <row r="24" spans="1:21" ht="37.5" outlineLevel="1">
      <c r="A24" s="210"/>
      <c r="B24" s="210"/>
      <c r="C24" s="21">
        <f t="shared" si="0"/>
        <v>1</v>
      </c>
      <c r="D24" s="43" t="s">
        <v>246</v>
      </c>
      <c r="E24" s="83" t="s">
        <v>247</v>
      </c>
      <c r="F24" s="24" t="b">
        <v>1</v>
      </c>
      <c r="G24" s="26" t="b">
        <v>0</v>
      </c>
      <c r="H24" s="26" t="b">
        <v>0</v>
      </c>
      <c r="I24" s="26" t="b">
        <v>0</v>
      </c>
      <c r="J24" s="26"/>
      <c r="K24" s="20" t="s">
        <v>209</v>
      </c>
      <c r="L24" s="79"/>
      <c r="M24" s="79"/>
      <c r="N24" s="79"/>
      <c r="O24" s="79"/>
      <c r="P24" s="79"/>
      <c r="Q24" s="79"/>
      <c r="R24" s="79"/>
      <c r="S24" s="79"/>
      <c r="T24" s="79"/>
      <c r="U24" s="80"/>
    </row>
    <row r="25" spans="1:21" ht="25" outlineLevel="1">
      <c r="A25" s="210"/>
      <c r="B25" s="210"/>
      <c r="C25" s="21">
        <f t="shared" si="0"/>
        <v>1</v>
      </c>
      <c r="D25" s="43" t="s">
        <v>248</v>
      </c>
      <c r="E25" s="83" t="s">
        <v>249</v>
      </c>
      <c r="F25" s="24" t="b">
        <v>1</v>
      </c>
      <c r="G25" s="25" t="b">
        <v>0</v>
      </c>
      <c r="H25" s="25" t="b">
        <v>0</v>
      </c>
      <c r="I25" s="25" t="b">
        <v>0</v>
      </c>
      <c r="J25" s="26"/>
      <c r="K25" s="20" t="s">
        <v>209</v>
      </c>
      <c r="L25" s="79"/>
      <c r="M25" s="79"/>
      <c r="N25" s="79"/>
      <c r="O25" s="79"/>
      <c r="P25" s="79"/>
      <c r="Q25" s="79"/>
      <c r="R25" s="79"/>
      <c r="S25" s="79"/>
      <c r="T25" s="79"/>
      <c r="U25" s="80"/>
    </row>
    <row r="26" spans="1:21" ht="37.5" outlineLevel="1">
      <c r="A26" s="210"/>
      <c r="B26" s="211"/>
      <c r="C26" s="27">
        <f t="shared" si="0"/>
        <v>1</v>
      </c>
      <c r="D26" s="55" t="s">
        <v>250</v>
      </c>
      <c r="E26" s="82" t="s">
        <v>251</v>
      </c>
      <c r="F26" s="18" t="b">
        <v>1</v>
      </c>
      <c r="G26" s="28" t="b">
        <v>0</v>
      </c>
      <c r="H26" s="28" t="b">
        <v>0</v>
      </c>
      <c r="I26" s="28" t="b">
        <v>0</v>
      </c>
      <c r="J26" s="28"/>
      <c r="K26" s="20" t="s">
        <v>209</v>
      </c>
      <c r="L26" s="79"/>
      <c r="M26" s="79"/>
      <c r="N26" s="79"/>
      <c r="O26" s="79"/>
      <c r="P26" s="79"/>
      <c r="Q26" s="79"/>
      <c r="R26" s="79"/>
      <c r="S26" s="79"/>
      <c r="T26" s="79"/>
      <c r="U26" s="80"/>
    </row>
    <row r="27" spans="1:21" ht="62.5" outlineLevel="1">
      <c r="A27" s="210"/>
      <c r="B27" s="223" t="s">
        <v>252</v>
      </c>
      <c r="C27" s="21">
        <f t="shared" si="0"/>
        <v>1</v>
      </c>
      <c r="D27" s="43" t="s">
        <v>253</v>
      </c>
      <c r="E27" s="83" t="s">
        <v>254</v>
      </c>
      <c r="F27" s="24" t="b">
        <v>1</v>
      </c>
      <c r="G27" s="26" t="b">
        <v>0</v>
      </c>
      <c r="H27" s="26" t="b">
        <v>0</v>
      </c>
      <c r="I27" s="26" t="b">
        <v>0</v>
      </c>
      <c r="J27" s="26"/>
      <c r="K27" s="20" t="s">
        <v>209</v>
      </c>
      <c r="L27" s="79"/>
      <c r="M27" s="79"/>
      <c r="N27" s="79"/>
      <c r="O27" s="79"/>
      <c r="P27" s="79"/>
      <c r="Q27" s="79"/>
      <c r="R27" s="79"/>
      <c r="S27" s="79"/>
      <c r="T27" s="79"/>
      <c r="U27" s="80"/>
    </row>
    <row r="28" spans="1:21" ht="50" outlineLevel="1">
      <c r="A28" s="210"/>
      <c r="B28" s="211"/>
      <c r="C28" s="27">
        <f t="shared" si="0"/>
        <v>1</v>
      </c>
      <c r="D28" s="55" t="s">
        <v>255</v>
      </c>
      <c r="E28" s="82" t="s">
        <v>256</v>
      </c>
      <c r="F28" s="18" t="b">
        <v>1</v>
      </c>
      <c r="G28" s="19" t="b">
        <v>0</v>
      </c>
      <c r="H28" s="19" t="b">
        <v>0</v>
      </c>
      <c r="I28" s="19" t="b">
        <v>0</v>
      </c>
      <c r="J28" s="28"/>
      <c r="K28" s="20" t="s">
        <v>209</v>
      </c>
      <c r="L28" s="79"/>
      <c r="M28" s="79"/>
      <c r="N28" s="79"/>
      <c r="O28" s="79"/>
      <c r="P28" s="79"/>
      <c r="Q28" s="79"/>
      <c r="R28" s="79"/>
      <c r="S28" s="79"/>
      <c r="T28" s="79"/>
      <c r="U28" s="80"/>
    </row>
    <row r="29" spans="1:21" ht="50" outlineLevel="1">
      <c r="A29" s="210"/>
      <c r="B29" s="241" t="s">
        <v>257</v>
      </c>
      <c r="C29" s="21">
        <f t="shared" si="0"/>
        <v>3</v>
      </c>
      <c r="D29" s="43" t="s">
        <v>258</v>
      </c>
      <c r="E29" s="83" t="s">
        <v>259</v>
      </c>
      <c r="F29" s="24" t="b">
        <v>1</v>
      </c>
      <c r="G29" s="25" t="b">
        <v>1</v>
      </c>
      <c r="H29" s="25" t="b">
        <v>1</v>
      </c>
      <c r="I29" s="25" t="b">
        <v>0</v>
      </c>
      <c r="J29" s="26"/>
      <c r="K29" s="34" t="s">
        <v>260</v>
      </c>
      <c r="L29" s="79"/>
      <c r="M29" s="79"/>
      <c r="N29" s="79"/>
      <c r="O29" s="79"/>
      <c r="P29" s="79"/>
      <c r="Q29" s="79"/>
      <c r="R29" s="79"/>
      <c r="S29" s="79"/>
      <c r="T29" s="79"/>
      <c r="U29" s="80"/>
    </row>
    <row r="30" spans="1:21" ht="50" outlineLevel="1">
      <c r="A30" s="210"/>
      <c r="B30" s="211"/>
      <c r="C30" s="27">
        <f t="shared" si="0"/>
        <v>4</v>
      </c>
      <c r="D30" s="55" t="s">
        <v>261</v>
      </c>
      <c r="E30" s="82" t="s">
        <v>262</v>
      </c>
      <c r="F30" s="18" t="b">
        <v>1</v>
      </c>
      <c r="G30" s="19" t="b">
        <v>1</v>
      </c>
      <c r="H30" s="19" t="b">
        <v>1</v>
      </c>
      <c r="I30" s="19" t="b">
        <v>1</v>
      </c>
      <c r="J30" s="28"/>
      <c r="K30" s="34" t="s">
        <v>260</v>
      </c>
      <c r="L30" s="79"/>
      <c r="M30" s="79"/>
      <c r="N30" s="79"/>
      <c r="O30" s="79"/>
      <c r="P30" s="79"/>
      <c r="Q30" s="79"/>
      <c r="R30" s="79"/>
      <c r="S30" s="79"/>
      <c r="T30" s="79"/>
      <c r="U30" s="80"/>
    </row>
    <row r="31" spans="1:21" ht="62.5" outlineLevel="1">
      <c r="A31" s="210"/>
      <c r="B31" s="242" t="s">
        <v>188</v>
      </c>
      <c r="C31" s="21">
        <f t="shared" si="0"/>
        <v>1</v>
      </c>
      <c r="D31" s="43" t="s">
        <v>263</v>
      </c>
      <c r="E31" s="83" t="s">
        <v>264</v>
      </c>
      <c r="F31" s="24" t="b">
        <v>1</v>
      </c>
      <c r="G31" s="26" t="b">
        <v>0</v>
      </c>
      <c r="H31" s="26" t="b">
        <v>0</v>
      </c>
      <c r="I31" s="26" t="b">
        <v>0</v>
      </c>
      <c r="J31" s="26"/>
      <c r="K31" s="20" t="s">
        <v>209</v>
      </c>
      <c r="L31" s="79"/>
      <c r="M31" s="79"/>
      <c r="N31" s="79"/>
      <c r="O31" s="79"/>
      <c r="P31" s="79"/>
      <c r="Q31" s="79"/>
      <c r="R31" s="79"/>
      <c r="S31" s="79"/>
      <c r="T31" s="79"/>
      <c r="U31" s="80"/>
    </row>
    <row r="32" spans="1:21" ht="75" outlineLevel="1">
      <c r="A32" s="211"/>
      <c r="B32" s="211"/>
      <c r="C32" s="21">
        <f t="shared" si="0"/>
        <v>4</v>
      </c>
      <c r="D32" s="55" t="s">
        <v>265</v>
      </c>
      <c r="E32" s="82" t="s">
        <v>266</v>
      </c>
      <c r="F32" s="18" t="b">
        <v>1</v>
      </c>
      <c r="G32" s="19" t="b">
        <v>1</v>
      </c>
      <c r="H32" s="19" t="b">
        <v>1</v>
      </c>
      <c r="I32" s="19" t="b">
        <v>1</v>
      </c>
      <c r="J32" s="19"/>
      <c r="K32" s="20" t="s">
        <v>267</v>
      </c>
      <c r="L32" s="79"/>
      <c r="M32" s="79"/>
      <c r="N32" s="79"/>
      <c r="O32" s="79"/>
      <c r="P32" s="79"/>
      <c r="Q32" s="79"/>
      <c r="R32" s="79"/>
      <c r="S32" s="79"/>
      <c r="T32" s="79"/>
      <c r="U32" s="80"/>
    </row>
    <row r="33" spans="1:21" ht="12.5">
      <c r="A33" s="36"/>
      <c r="B33" s="36"/>
      <c r="C33" s="36"/>
      <c r="D33" s="36"/>
      <c r="E33" s="36"/>
      <c r="F33" s="36"/>
      <c r="G33" s="36"/>
      <c r="H33" s="36"/>
      <c r="I33" s="36"/>
      <c r="J33" s="36"/>
      <c r="K33" s="36"/>
      <c r="L33" s="79"/>
      <c r="M33" s="79"/>
      <c r="N33" s="79"/>
      <c r="O33" s="79"/>
      <c r="P33" s="79"/>
      <c r="Q33" s="79"/>
      <c r="R33" s="79"/>
      <c r="S33" s="79"/>
      <c r="T33" s="79"/>
      <c r="U33" s="80"/>
    </row>
    <row r="34" spans="1:21" ht="78" outlineLevel="1">
      <c r="A34" s="217" t="s">
        <v>6</v>
      </c>
      <c r="B34" s="218"/>
      <c r="C34" s="37" t="s">
        <v>102</v>
      </c>
      <c r="D34" s="38">
        <f>COUNTIF(L37:L60,TRUE)</f>
        <v>7</v>
      </c>
      <c r="E34" s="74" t="s">
        <v>103</v>
      </c>
      <c r="F34" s="219" t="s">
        <v>104</v>
      </c>
      <c r="G34" s="218"/>
      <c r="H34" s="40">
        <f ca="1">IFERROR(__xludf.DUMMYFUNCTION("COUNTUNIQUE(D5:D32)"),28)</f>
        <v>28</v>
      </c>
      <c r="I34" s="41" t="s">
        <v>105</v>
      </c>
      <c r="J34" s="42"/>
      <c r="K34" s="42">
        <f ca="1">H34/3</f>
        <v>9.3333333333333339</v>
      </c>
      <c r="L34" s="43"/>
      <c r="M34" s="43"/>
      <c r="N34" s="43"/>
      <c r="O34" s="43"/>
      <c r="P34" s="43"/>
      <c r="Q34" s="43"/>
      <c r="R34" s="43"/>
      <c r="S34" s="43"/>
      <c r="T34" s="43"/>
      <c r="U34" s="44"/>
    </row>
    <row r="35" spans="1:21" ht="17.5" outlineLevel="1">
      <c r="A35" s="227" t="s">
        <v>106</v>
      </c>
      <c r="B35" s="203"/>
      <c r="C35" s="75">
        <v>2</v>
      </c>
      <c r="D35" s="7"/>
      <c r="E35" s="46" t="s">
        <v>107</v>
      </c>
      <c r="F35" s="7"/>
      <c r="G35" s="7"/>
      <c r="H35" s="7"/>
      <c r="I35" s="7"/>
      <c r="J35" s="7"/>
      <c r="K35" s="7"/>
      <c r="L35" s="79"/>
      <c r="M35" s="79"/>
      <c r="N35" s="79"/>
      <c r="O35" s="79"/>
      <c r="P35" s="79"/>
      <c r="Q35" s="79"/>
      <c r="R35" s="79"/>
      <c r="S35" s="79"/>
      <c r="T35" s="79"/>
      <c r="U35" s="80"/>
    </row>
    <row r="36" spans="1:21" ht="15.5" outlineLevel="1">
      <c r="A36" s="207" t="s">
        <v>9</v>
      </c>
      <c r="B36" s="208"/>
      <c r="C36" s="9" t="s">
        <v>10</v>
      </c>
      <c r="D36" s="10" t="s">
        <v>11</v>
      </c>
      <c r="E36" s="11" t="s">
        <v>12</v>
      </c>
      <c r="F36" s="9" t="s">
        <v>13</v>
      </c>
      <c r="G36" s="9" t="s">
        <v>14</v>
      </c>
      <c r="H36" s="9" t="s">
        <v>15</v>
      </c>
      <c r="I36" s="9" t="s">
        <v>16</v>
      </c>
      <c r="J36" s="9"/>
      <c r="K36" s="9" t="s">
        <v>17</v>
      </c>
      <c r="L36" s="10" t="s">
        <v>108</v>
      </c>
      <c r="M36" s="79"/>
      <c r="N36" s="79"/>
      <c r="O36" s="79"/>
      <c r="P36" s="79"/>
      <c r="Q36" s="79"/>
      <c r="R36" s="79"/>
      <c r="S36" s="79"/>
      <c r="T36" s="79"/>
      <c r="U36" s="80"/>
    </row>
    <row r="37" spans="1:21" ht="50" outlineLevel="1">
      <c r="A37" s="240" t="s">
        <v>18</v>
      </c>
      <c r="B37" s="14" t="s">
        <v>114</v>
      </c>
      <c r="C37" s="27">
        <f t="shared" ref="C37:C68" si="1">COUNTIF(F37:I37,TRUE)</f>
        <v>4</v>
      </c>
      <c r="D37" s="7" t="str">
        <f t="shared" ref="D37:I37" si="2">IF($C5&gt;$C$35,D5,"")</f>
        <v>2.NBT.A.1</v>
      </c>
      <c r="E37" s="47" t="str">
        <f t="shared" si="2"/>
        <v>Understand that the three digits of a three-digit number represent amounts of hundreds, tens, and ones; e.g., 706 equals 7 hundreds, 0 tens, and 6 ones. Understand the following as special cases:</v>
      </c>
      <c r="F37" s="76" t="b">
        <f t="shared" si="2"/>
        <v>1</v>
      </c>
      <c r="G37" s="76" t="b">
        <f t="shared" si="2"/>
        <v>1</v>
      </c>
      <c r="H37" s="76" t="b">
        <f t="shared" si="2"/>
        <v>1</v>
      </c>
      <c r="I37" s="76" t="b">
        <f t="shared" si="2"/>
        <v>1</v>
      </c>
      <c r="J37" s="7"/>
      <c r="K37" s="47" t="str">
        <f t="shared" ref="K37:K65" si="3">IF($C5&gt;$C$35,K5,"")</f>
        <v>R-the basis for understanding addtion and 
subtraction L - apply to scienctific data 
collection. E-foundation for math &amp; science A -Will be assess on MAP.</v>
      </c>
      <c r="L37" s="48" t="b">
        <v>1</v>
      </c>
      <c r="M37" s="7">
        <f t="shared" ref="M37:U37" si="4">IF($L37=TRUE,C37,"")</f>
        <v>4</v>
      </c>
      <c r="N37" s="7" t="str">
        <f t="shared" si="4"/>
        <v>2.NBT.A.1</v>
      </c>
      <c r="O37" s="7" t="str">
        <f t="shared" si="4"/>
        <v>Understand that the three digits of a three-digit number represent amounts of hundreds, tens, and ones; e.g., 706 equals 7 hundreds, 0 tens, and 6 ones. Understand the following as special cases:</v>
      </c>
      <c r="P37" s="7" t="b">
        <f t="shared" si="4"/>
        <v>1</v>
      </c>
      <c r="Q37" s="7" t="b">
        <f t="shared" si="4"/>
        <v>1</v>
      </c>
      <c r="R37" s="7" t="b">
        <f t="shared" si="4"/>
        <v>1</v>
      </c>
      <c r="S37" s="7" t="b">
        <f t="shared" si="4"/>
        <v>1</v>
      </c>
      <c r="T37" s="7">
        <f t="shared" si="4"/>
        <v>0</v>
      </c>
      <c r="U37" s="8" t="str">
        <f t="shared" si="4"/>
        <v>R-the basis for understanding addtion and 
subtraction L - apply to scienctific data 
collection. E-foundation for math &amp; science A -Will be assess on MAP.</v>
      </c>
    </row>
    <row r="38" spans="1:21" ht="62.5" outlineLevel="1">
      <c r="A38" s="210"/>
      <c r="B38" s="234" t="s">
        <v>114</v>
      </c>
      <c r="C38" s="21">
        <f t="shared" si="1"/>
        <v>3</v>
      </c>
      <c r="D38" s="7" t="str">
        <f t="shared" ref="D38:I38" si="5">IF($C6&gt;$C$35,D6,"")</f>
        <v>2.NBT.A.1a</v>
      </c>
      <c r="E38" s="47" t="str">
        <f t="shared" si="5"/>
        <v>100 can be thought of as a bundle of ten tens — called a “hundred.”</v>
      </c>
      <c r="F38" s="76" t="b">
        <f t="shared" si="5"/>
        <v>1</v>
      </c>
      <c r="G38" s="76" t="b">
        <f t="shared" si="5"/>
        <v>1</v>
      </c>
      <c r="H38" s="76" t="b">
        <f t="shared" si="5"/>
        <v>1</v>
      </c>
      <c r="I38" s="76" t="b">
        <f t="shared" si="5"/>
        <v>0</v>
      </c>
      <c r="J38" s="7"/>
      <c r="K38" s="47" t="str">
        <f t="shared" si="3"/>
        <v xml:space="preserve">R - foundation for building number sense, E - Used 
to build place value and strategies to solve mathmetical 
equations. A - MAP </v>
      </c>
      <c r="L38" s="48" t="b">
        <v>0</v>
      </c>
      <c r="M38" s="7" t="str">
        <f t="shared" ref="M38:U38" si="6">IF($L38=TRUE,C38,"")</f>
        <v/>
      </c>
      <c r="N38" s="7" t="str">
        <f t="shared" si="6"/>
        <v/>
      </c>
      <c r="O38" s="7" t="str">
        <f t="shared" si="6"/>
        <v/>
      </c>
      <c r="P38" s="7" t="str">
        <f t="shared" si="6"/>
        <v/>
      </c>
      <c r="Q38" s="7" t="str">
        <f t="shared" si="6"/>
        <v/>
      </c>
      <c r="R38" s="7" t="str">
        <f t="shared" si="6"/>
        <v/>
      </c>
      <c r="S38" s="7" t="str">
        <f t="shared" si="6"/>
        <v/>
      </c>
      <c r="T38" s="7" t="str">
        <f t="shared" si="6"/>
        <v/>
      </c>
      <c r="U38" s="8" t="str">
        <f t="shared" si="6"/>
        <v/>
      </c>
    </row>
    <row r="39" spans="1:21" ht="13" outlineLevel="1">
      <c r="A39" s="210"/>
      <c r="B39" s="210"/>
      <c r="C39" s="21">
        <f t="shared" si="1"/>
        <v>0</v>
      </c>
      <c r="D39" s="7" t="str">
        <f t="shared" ref="D39:I39" si="7">IF($C7&gt;$C$35,D7,"")</f>
        <v/>
      </c>
      <c r="E39" s="47" t="str">
        <f t="shared" si="7"/>
        <v/>
      </c>
      <c r="F39" s="76" t="str">
        <f t="shared" si="7"/>
        <v/>
      </c>
      <c r="G39" s="76" t="str">
        <f t="shared" si="7"/>
        <v/>
      </c>
      <c r="H39" s="76" t="str">
        <f t="shared" si="7"/>
        <v/>
      </c>
      <c r="I39" s="76" t="str">
        <f t="shared" si="7"/>
        <v/>
      </c>
      <c r="J39" s="7"/>
      <c r="K39" s="47" t="str">
        <f t="shared" si="3"/>
        <v/>
      </c>
      <c r="L39" s="48" t="b">
        <v>0</v>
      </c>
      <c r="M39" s="7" t="str">
        <f t="shared" ref="M39:U39" si="8">IF($L39=TRUE,C39,"")</f>
        <v/>
      </c>
      <c r="N39" s="7" t="str">
        <f t="shared" si="8"/>
        <v/>
      </c>
      <c r="O39" s="7" t="str">
        <f t="shared" si="8"/>
        <v/>
      </c>
      <c r="P39" s="7" t="str">
        <f t="shared" si="8"/>
        <v/>
      </c>
      <c r="Q39" s="7" t="str">
        <f t="shared" si="8"/>
        <v/>
      </c>
      <c r="R39" s="7" t="str">
        <f t="shared" si="8"/>
        <v/>
      </c>
      <c r="S39" s="7" t="str">
        <f t="shared" si="8"/>
        <v/>
      </c>
      <c r="T39" s="7" t="str">
        <f t="shared" si="8"/>
        <v/>
      </c>
      <c r="U39" s="8" t="str">
        <f t="shared" si="8"/>
        <v/>
      </c>
    </row>
    <row r="40" spans="1:21" ht="112.5" outlineLevel="1">
      <c r="A40" s="210"/>
      <c r="B40" s="210"/>
      <c r="C40" s="21">
        <f t="shared" si="1"/>
        <v>3</v>
      </c>
      <c r="D40" s="7" t="str">
        <f t="shared" ref="D40:I40" si="9">IF($C8&gt;$C$35,D8,"")</f>
        <v>2.NBT.A.2</v>
      </c>
      <c r="E40" s="47" t="str">
        <f t="shared" si="9"/>
        <v>Count within 1000; skip-count by 5s, 10s, and 100s.</v>
      </c>
      <c r="F40" s="76" t="b">
        <f t="shared" si="9"/>
        <v>1</v>
      </c>
      <c r="G40" s="76" t="b">
        <f t="shared" si="9"/>
        <v>1</v>
      </c>
      <c r="H40" s="76" t="b">
        <f t="shared" si="9"/>
        <v>1</v>
      </c>
      <c r="I40" s="76" t="b">
        <f t="shared" si="9"/>
        <v>0</v>
      </c>
      <c r="J40" s="7"/>
      <c r="K40" s="47" t="str">
        <f t="shared" si="3"/>
        <v>R - helps with repeated addition that relates to 
multiplication and division. E - skip counting prog
resses throughout the year as students grow 
into larger number sets
A-MAP   L-Reading logs monitoring your reading 
volume</v>
      </c>
      <c r="L40" s="48" t="b">
        <v>1</v>
      </c>
      <c r="M40" s="7">
        <f t="shared" ref="M40:U40" si="10">IF($L40=TRUE,C40,"")</f>
        <v>3</v>
      </c>
      <c r="N40" s="7" t="str">
        <f t="shared" si="10"/>
        <v>2.NBT.A.2</v>
      </c>
      <c r="O40" s="7" t="str">
        <f t="shared" si="10"/>
        <v>Count within 1000; skip-count by 5s, 10s, and 100s.</v>
      </c>
      <c r="P40" s="7" t="b">
        <f t="shared" si="10"/>
        <v>1</v>
      </c>
      <c r="Q40" s="7" t="b">
        <f t="shared" si="10"/>
        <v>1</v>
      </c>
      <c r="R40" s="7" t="b">
        <f t="shared" si="10"/>
        <v>1</v>
      </c>
      <c r="S40" s="7" t="b">
        <f t="shared" si="10"/>
        <v>0</v>
      </c>
      <c r="T40" s="7">
        <f t="shared" si="10"/>
        <v>0</v>
      </c>
      <c r="U40" s="8" t="str">
        <f t="shared" si="10"/>
        <v>R - helps with repeated addition that relates to 
multiplication and division. E - skip counting prog
resses throughout the year as students grow 
into larger number sets
A-MAP   L-Reading logs monitoring your reading 
volume</v>
      </c>
    </row>
    <row r="41" spans="1:21" ht="50" outlineLevel="1">
      <c r="A41" s="210"/>
      <c r="B41" s="210"/>
      <c r="C41" s="21">
        <f t="shared" si="1"/>
        <v>3</v>
      </c>
      <c r="D41" s="7" t="str">
        <f t="shared" ref="D41:I41" si="11">IF($C9&gt;$C$35,D9,"")</f>
        <v>2.NBT.A.3</v>
      </c>
      <c r="E41" s="47" t="str">
        <f t="shared" si="11"/>
        <v>Read and write numbers to 1000 using base-ten numerals, number names, and expanded form.</v>
      </c>
      <c r="F41" s="76" t="b">
        <f t="shared" si="11"/>
        <v>1</v>
      </c>
      <c r="G41" s="76" t="b">
        <f t="shared" si="11"/>
        <v>1</v>
      </c>
      <c r="H41" s="76" t="b">
        <f t="shared" si="11"/>
        <v>1</v>
      </c>
      <c r="I41" s="76" t="b">
        <f t="shared" si="11"/>
        <v>0</v>
      </c>
      <c r="J41" s="7"/>
      <c r="K41" s="47" t="str">
        <f t="shared" si="3"/>
        <v xml:space="preserve">R - assists with understanding of decomposition 
E - provides more strategy options for higher level thinking A - MAP
</v>
      </c>
      <c r="L41" s="49" t="b">
        <v>0</v>
      </c>
      <c r="M41" s="7" t="str">
        <f t="shared" ref="M41:U41" si="12">IF($L41=TRUE,C41,"")</f>
        <v/>
      </c>
      <c r="N41" s="7" t="str">
        <f t="shared" si="12"/>
        <v/>
      </c>
      <c r="O41" s="7" t="str">
        <f t="shared" si="12"/>
        <v/>
      </c>
      <c r="P41" s="7" t="str">
        <f t="shared" si="12"/>
        <v/>
      </c>
      <c r="Q41" s="7" t="str">
        <f t="shared" si="12"/>
        <v/>
      </c>
      <c r="R41" s="7" t="str">
        <f t="shared" si="12"/>
        <v/>
      </c>
      <c r="S41" s="7" t="str">
        <f t="shared" si="12"/>
        <v/>
      </c>
      <c r="T41" s="7" t="str">
        <f t="shared" si="12"/>
        <v/>
      </c>
      <c r="U41" s="8" t="str">
        <f t="shared" si="12"/>
        <v/>
      </c>
    </row>
    <row r="42" spans="1:21" ht="13" outlineLevel="1">
      <c r="A42" s="210"/>
      <c r="B42" s="211"/>
      <c r="C42" s="27">
        <f t="shared" si="1"/>
        <v>0</v>
      </c>
      <c r="D42" s="7" t="str">
        <f t="shared" ref="D42:I42" si="13">IF($C10&gt;$C$35,D10,"")</f>
        <v/>
      </c>
      <c r="E42" s="47" t="str">
        <f t="shared" si="13"/>
        <v/>
      </c>
      <c r="F42" s="76" t="str">
        <f t="shared" si="13"/>
        <v/>
      </c>
      <c r="G42" s="76" t="str">
        <f t="shared" si="13"/>
        <v/>
      </c>
      <c r="H42" s="76" t="str">
        <f t="shared" si="13"/>
        <v/>
      </c>
      <c r="I42" s="76" t="str">
        <f t="shared" si="13"/>
        <v/>
      </c>
      <c r="J42" s="7"/>
      <c r="K42" s="47" t="str">
        <f t="shared" si="3"/>
        <v/>
      </c>
      <c r="L42" s="49" t="b">
        <v>0</v>
      </c>
      <c r="M42" s="7" t="str">
        <f t="shared" ref="M42:U42" si="14">IF($L42=TRUE,C42,"")</f>
        <v/>
      </c>
      <c r="N42" s="7" t="str">
        <f t="shared" si="14"/>
        <v/>
      </c>
      <c r="O42" s="7" t="str">
        <f t="shared" si="14"/>
        <v/>
      </c>
      <c r="P42" s="7" t="str">
        <f t="shared" si="14"/>
        <v/>
      </c>
      <c r="Q42" s="7" t="str">
        <f t="shared" si="14"/>
        <v/>
      </c>
      <c r="R42" s="7" t="str">
        <f t="shared" si="14"/>
        <v/>
      </c>
      <c r="S42" s="7" t="str">
        <f t="shared" si="14"/>
        <v/>
      </c>
      <c r="T42" s="7" t="str">
        <f t="shared" si="14"/>
        <v/>
      </c>
      <c r="U42" s="8" t="str">
        <f t="shared" si="14"/>
        <v/>
      </c>
    </row>
    <row r="43" spans="1:21" ht="87.5" outlineLevel="1">
      <c r="A43" s="210"/>
      <c r="B43" s="229" t="s">
        <v>130</v>
      </c>
      <c r="C43" s="21">
        <f t="shared" si="1"/>
        <v>4</v>
      </c>
      <c r="D43" s="7" t="str">
        <f t="shared" ref="D43:I43" si="15">IF($C11&gt;$C$35,D11,"")</f>
        <v>2.NBT.B.5</v>
      </c>
      <c r="E43" s="47" t="str">
        <f t="shared" si="15"/>
        <v>Fluently add and subtract within 100 using strategies based on place value, properties of operations, and/or the relationship between addition and subtraction</v>
      </c>
      <c r="F43" s="76" t="b">
        <f t="shared" si="15"/>
        <v>1</v>
      </c>
      <c r="G43" s="76" t="b">
        <f t="shared" si="15"/>
        <v>1</v>
      </c>
      <c r="H43" s="76" t="b">
        <f t="shared" si="15"/>
        <v>1</v>
      </c>
      <c r="I43" s="76" t="b">
        <f t="shared" si="15"/>
        <v>1</v>
      </c>
      <c r="J43" s="7"/>
      <c r="K43" s="47" t="str">
        <f t="shared" si="3"/>
        <v xml:space="preserve">R - must be used when multipling/dividing and when 
completing 3rd grade expectations 
E - fluency progresses throughout the year as students grow 
into larger number sets
A-MAP   L- Science and data </v>
      </c>
      <c r="L43" s="48" t="b">
        <v>1</v>
      </c>
      <c r="M43" s="7">
        <f t="shared" ref="M43:U43" si="16">IF($L43=TRUE,C43,"")</f>
        <v>4</v>
      </c>
      <c r="N43" s="7" t="str">
        <f t="shared" si="16"/>
        <v>2.NBT.B.5</v>
      </c>
      <c r="O43" s="7" t="str">
        <f t="shared" si="16"/>
        <v>Fluently add and subtract within 100 using strategies based on place value, properties of operations, and/or the relationship between addition and subtraction</v>
      </c>
      <c r="P43" s="7" t="b">
        <f t="shared" si="16"/>
        <v>1</v>
      </c>
      <c r="Q43" s="7" t="b">
        <f t="shared" si="16"/>
        <v>1</v>
      </c>
      <c r="R43" s="7" t="b">
        <f t="shared" si="16"/>
        <v>1</v>
      </c>
      <c r="S43" s="7" t="b">
        <f t="shared" si="16"/>
        <v>1</v>
      </c>
      <c r="T43" s="7">
        <f t="shared" si="16"/>
        <v>0</v>
      </c>
      <c r="U43" s="8" t="str">
        <f t="shared" si="16"/>
        <v xml:space="preserve">R - must be used when multipling/dividing and when 
completing 3rd grade expectations 
E - fluency progresses throughout the year as students grow 
into larger number sets
A-MAP   L- Science and data </v>
      </c>
    </row>
    <row r="44" spans="1:21" ht="13" outlineLevel="1">
      <c r="A44" s="210"/>
      <c r="B44" s="210"/>
      <c r="C44" s="21">
        <f t="shared" si="1"/>
        <v>0</v>
      </c>
      <c r="D44" s="7" t="str">
        <f t="shared" ref="D44:I44" si="17">IF($C12&gt;$C$35,D12,"")</f>
        <v/>
      </c>
      <c r="E44" s="47" t="str">
        <f t="shared" si="17"/>
        <v/>
      </c>
      <c r="F44" s="76" t="str">
        <f t="shared" si="17"/>
        <v/>
      </c>
      <c r="G44" s="76" t="str">
        <f t="shared" si="17"/>
        <v/>
      </c>
      <c r="H44" s="76" t="str">
        <f t="shared" si="17"/>
        <v/>
      </c>
      <c r="I44" s="76" t="str">
        <f t="shared" si="17"/>
        <v/>
      </c>
      <c r="J44" s="7"/>
      <c r="K44" s="47" t="str">
        <f t="shared" si="3"/>
        <v/>
      </c>
      <c r="L44" s="48" t="b">
        <v>0</v>
      </c>
      <c r="M44" s="7" t="str">
        <f t="shared" ref="M44:U44" si="18">IF($L44=TRUE,C44,"")</f>
        <v/>
      </c>
      <c r="N44" s="7" t="str">
        <f t="shared" si="18"/>
        <v/>
      </c>
      <c r="O44" s="7" t="str">
        <f t="shared" si="18"/>
        <v/>
      </c>
      <c r="P44" s="7" t="str">
        <f t="shared" si="18"/>
        <v/>
      </c>
      <c r="Q44" s="7" t="str">
        <f t="shared" si="18"/>
        <v/>
      </c>
      <c r="R44" s="7" t="str">
        <f t="shared" si="18"/>
        <v/>
      </c>
      <c r="S44" s="7" t="str">
        <f t="shared" si="18"/>
        <v/>
      </c>
      <c r="T44" s="7" t="str">
        <f t="shared" si="18"/>
        <v/>
      </c>
      <c r="U44" s="8" t="str">
        <f t="shared" si="18"/>
        <v/>
      </c>
    </row>
    <row r="45" spans="1:21" ht="100" outlineLevel="1">
      <c r="A45" s="210"/>
      <c r="B45" s="210"/>
      <c r="C45" s="21">
        <f t="shared" si="1"/>
        <v>4</v>
      </c>
      <c r="D45" s="7" t="str">
        <f t="shared" ref="D45:I45" si="19">IF($C13&gt;$C$35,D13,"")</f>
        <v>2.NBT.B.7</v>
      </c>
      <c r="E45" s="47" t="str">
        <f t="shared" si="19"/>
        <v>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v>
      </c>
      <c r="F45" s="76" t="b">
        <f t="shared" si="19"/>
        <v>1</v>
      </c>
      <c r="G45" s="76" t="b">
        <f t="shared" si="19"/>
        <v>1</v>
      </c>
      <c r="H45" s="76" t="b">
        <f t="shared" si="19"/>
        <v>1</v>
      </c>
      <c r="I45" s="76" t="b">
        <f t="shared" si="19"/>
        <v>1</v>
      </c>
      <c r="J45" s="7"/>
      <c r="K45" s="47" t="str">
        <f t="shared" si="3"/>
        <v xml:space="preserve">R - must be used when multipling/dividing and when 
completing 3rd grade expectations 
E - fluency progresses throughout the year as students grow 
into larger number sets
A-MAP   L- Science and data </v>
      </c>
      <c r="L45" s="48" t="b">
        <v>1</v>
      </c>
      <c r="M45" s="7">
        <f t="shared" ref="M45:U45" si="20">IF($L45=TRUE,C45,"")</f>
        <v>4</v>
      </c>
      <c r="N45" s="7" t="str">
        <f t="shared" si="20"/>
        <v>2.NBT.B.7</v>
      </c>
      <c r="O45" s="7" t="str">
        <f t="shared" si="20"/>
        <v>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v>
      </c>
      <c r="P45" s="7" t="b">
        <f t="shared" si="20"/>
        <v>1</v>
      </c>
      <c r="Q45" s="7" t="b">
        <f t="shared" si="20"/>
        <v>1</v>
      </c>
      <c r="R45" s="7" t="b">
        <f t="shared" si="20"/>
        <v>1</v>
      </c>
      <c r="S45" s="7" t="b">
        <f t="shared" si="20"/>
        <v>1</v>
      </c>
      <c r="T45" s="7">
        <f t="shared" si="20"/>
        <v>0</v>
      </c>
      <c r="U45" s="8" t="str">
        <f t="shared" si="20"/>
        <v xml:space="preserve">R - must be used when multipling/dividing and when 
completing 3rd grade expectations 
E - fluency progresses throughout the year as students grow 
into larger number sets
A-MAP   L- Science and data </v>
      </c>
    </row>
    <row r="46" spans="1:21" ht="75" outlineLevel="1">
      <c r="A46" s="210"/>
      <c r="B46" s="210"/>
      <c r="C46" s="21">
        <f t="shared" si="1"/>
        <v>3</v>
      </c>
      <c r="D46" s="7" t="str">
        <f t="shared" ref="D46:I46" si="21">IF($C14&gt;$C$35,D14,"")</f>
        <v>2.NBT.B.8</v>
      </c>
      <c r="E46" s="47" t="str">
        <f t="shared" si="21"/>
        <v>Mentally add 10 or 100 to a given number 100–900, and mentally subtract 10 or 100 from a given number 100–900.</v>
      </c>
      <c r="F46" s="76" t="b">
        <f t="shared" si="21"/>
        <v>1</v>
      </c>
      <c r="G46" s="76" t="b">
        <f t="shared" si="21"/>
        <v>1</v>
      </c>
      <c r="H46" s="76" t="b">
        <f t="shared" si="21"/>
        <v>1</v>
      </c>
      <c r="I46" s="76" t="b">
        <f t="shared" si="21"/>
        <v>0</v>
      </c>
      <c r="J46" s="7"/>
      <c r="K46" s="47" t="str">
        <f t="shared" si="3"/>
        <v xml:space="preserve">R - fluent mathmaticians can be more successful and efficient
E - st's will be more successful in completing problems in 
showing higher level thinking strategies A - MAP </v>
      </c>
      <c r="L46" s="49" t="b">
        <v>0</v>
      </c>
      <c r="M46" s="7" t="str">
        <f t="shared" ref="M46:U46" si="22">IF($L46=TRUE,C46,"")</f>
        <v/>
      </c>
      <c r="N46" s="7" t="str">
        <f t="shared" si="22"/>
        <v/>
      </c>
      <c r="O46" s="7" t="str">
        <f t="shared" si="22"/>
        <v/>
      </c>
      <c r="P46" s="7" t="str">
        <f t="shared" si="22"/>
        <v/>
      </c>
      <c r="Q46" s="7" t="str">
        <f t="shared" si="22"/>
        <v/>
      </c>
      <c r="R46" s="7" t="str">
        <f t="shared" si="22"/>
        <v/>
      </c>
      <c r="S46" s="7" t="str">
        <f t="shared" si="22"/>
        <v/>
      </c>
      <c r="T46" s="7" t="str">
        <f t="shared" si="22"/>
        <v/>
      </c>
      <c r="U46" s="8" t="str">
        <f t="shared" si="22"/>
        <v/>
      </c>
    </row>
    <row r="47" spans="1:21" ht="13" outlineLevel="1">
      <c r="A47" s="211"/>
      <c r="B47" s="211"/>
      <c r="C47" s="27">
        <f t="shared" si="1"/>
        <v>0</v>
      </c>
      <c r="D47" s="7" t="str">
        <f t="shared" ref="D47:I47" si="23">IF($C15&gt;$C$35,D15,"")</f>
        <v/>
      </c>
      <c r="E47" s="47" t="str">
        <f t="shared" si="23"/>
        <v/>
      </c>
      <c r="F47" s="76" t="str">
        <f t="shared" si="23"/>
        <v/>
      </c>
      <c r="G47" s="76" t="str">
        <f t="shared" si="23"/>
        <v/>
      </c>
      <c r="H47" s="76" t="str">
        <f t="shared" si="23"/>
        <v/>
      </c>
      <c r="I47" s="76" t="str">
        <f t="shared" si="23"/>
        <v/>
      </c>
      <c r="J47" s="7"/>
      <c r="K47" s="47" t="str">
        <f t="shared" si="3"/>
        <v/>
      </c>
      <c r="L47" s="49" t="b">
        <v>0</v>
      </c>
      <c r="M47" s="7" t="str">
        <f t="shared" ref="M47:U47" si="24">IF($L47=TRUE,C47,"")</f>
        <v/>
      </c>
      <c r="N47" s="7" t="str">
        <f t="shared" si="24"/>
        <v/>
      </c>
      <c r="O47" s="7" t="str">
        <f t="shared" si="24"/>
        <v/>
      </c>
      <c r="P47" s="7" t="str">
        <f t="shared" si="24"/>
        <v/>
      </c>
      <c r="Q47" s="7" t="str">
        <f t="shared" si="24"/>
        <v/>
      </c>
      <c r="R47" s="7" t="str">
        <f t="shared" si="24"/>
        <v/>
      </c>
      <c r="S47" s="7" t="str">
        <f t="shared" si="24"/>
        <v/>
      </c>
      <c r="T47" s="7" t="str">
        <f t="shared" si="24"/>
        <v/>
      </c>
      <c r="U47" s="8" t="str">
        <f t="shared" si="24"/>
        <v/>
      </c>
    </row>
    <row r="48" spans="1:21" ht="87.5" outlineLevel="1">
      <c r="A48" s="209" t="s">
        <v>23</v>
      </c>
      <c r="B48" s="84" t="s">
        <v>140</v>
      </c>
      <c r="C48" s="27">
        <f t="shared" si="1"/>
        <v>4</v>
      </c>
      <c r="D48" s="7" t="str">
        <f t="shared" ref="D48:I48" si="25">IF($C16&gt;$C$35,D16,"")</f>
        <v>2.OA.A.1</v>
      </c>
      <c r="E48" s="47" t="str">
        <f t="shared" si="25"/>
        <v>Use addition and subtraction within 100 to solve one- and two-step word problems involving situations of adding to, taking from, putting together, taking apart, and comparing, with unknowns in all positions, e.g., by using drawings and equations with a symbol for the unknown number to represent the problem.</v>
      </c>
      <c r="F48" s="76" t="b">
        <f t="shared" si="25"/>
        <v>1</v>
      </c>
      <c r="G48" s="76" t="b">
        <f t="shared" si="25"/>
        <v>1</v>
      </c>
      <c r="H48" s="76" t="b">
        <f t="shared" si="25"/>
        <v>1</v>
      </c>
      <c r="I48" s="76" t="b">
        <f t="shared" si="25"/>
        <v>1</v>
      </c>
      <c r="J48" s="7"/>
      <c r="K48" s="47" t="str">
        <f t="shared" si="3"/>
        <v xml:space="preserve">R- the foundations of solving all problems, E- heavy 
in word problems in order to decipher what the problem
is asking of them and how they want to solve and used 
all real word situations A-MAP L - Science </v>
      </c>
      <c r="L48" s="48" t="b">
        <v>1</v>
      </c>
      <c r="M48" s="7">
        <f t="shared" ref="M48:U48" si="26">IF($L48=TRUE,C48,"")</f>
        <v>4</v>
      </c>
      <c r="N48" s="7" t="str">
        <f t="shared" si="26"/>
        <v>2.OA.A.1</v>
      </c>
      <c r="O48" s="7" t="str">
        <f t="shared" si="26"/>
        <v>Use addition and subtraction within 100 to solve one- and two-step word problems involving situations of adding to, taking from, putting together, taking apart, and comparing, with unknowns in all positions, e.g., by using drawings and equations with a symbol for the unknown number to represent the problem.</v>
      </c>
      <c r="P48" s="7" t="b">
        <f t="shared" si="26"/>
        <v>1</v>
      </c>
      <c r="Q48" s="7" t="b">
        <f t="shared" si="26"/>
        <v>1</v>
      </c>
      <c r="R48" s="7" t="b">
        <f t="shared" si="26"/>
        <v>1</v>
      </c>
      <c r="S48" s="7" t="b">
        <f t="shared" si="26"/>
        <v>1</v>
      </c>
      <c r="T48" s="7">
        <f t="shared" si="26"/>
        <v>0</v>
      </c>
      <c r="U48" s="8" t="str">
        <f t="shared" si="26"/>
        <v xml:space="preserve">R- the foundations of solving all problems, E- heavy 
in word problems in order to decipher what the problem
is asking of them and how they want to solve and used 
all real word situations A-MAP L - Science </v>
      </c>
    </row>
    <row r="49" spans="1:21" ht="50" outlineLevel="1">
      <c r="A49" s="210"/>
      <c r="B49" s="85" t="s">
        <v>153</v>
      </c>
      <c r="C49" s="27">
        <f t="shared" si="1"/>
        <v>3</v>
      </c>
      <c r="D49" s="7" t="str">
        <f t="shared" ref="D49:I49" si="27">IF($C17&gt;$C$35,D17,"")</f>
        <v>2.OA.B.2</v>
      </c>
      <c r="E49" s="47" t="str">
        <f t="shared" si="27"/>
        <v>Fluently add and subtract within 20 using mental strategies. By end of Grade 2, know from memory all sums of two one-digit numbers.</v>
      </c>
      <c r="F49" s="76" t="b">
        <f t="shared" si="27"/>
        <v>1</v>
      </c>
      <c r="G49" s="76" t="b">
        <f t="shared" si="27"/>
        <v>1</v>
      </c>
      <c r="H49" s="76" t="b">
        <f t="shared" si="27"/>
        <v>0</v>
      </c>
      <c r="I49" s="76" t="b">
        <f t="shared" si="27"/>
        <v>1</v>
      </c>
      <c r="J49" s="7"/>
      <c r="K49" s="47" t="str">
        <f t="shared" si="3"/>
        <v xml:space="preserve">R - foundation for multiplication and division, 
E - needed for all future problems including real world
situations. L- used in science </v>
      </c>
      <c r="L49" s="49" t="b">
        <v>0</v>
      </c>
      <c r="M49" s="7" t="str">
        <f t="shared" ref="M49:U49" si="28">IF($L49=TRUE,C49,"")</f>
        <v/>
      </c>
      <c r="N49" s="7" t="str">
        <f t="shared" si="28"/>
        <v/>
      </c>
      <c r="O49" s="7" t="str">
        <f t="shared" si="28"/>
        <v/>
      </c>
      <c r="P49" s="7" t="str">
        <f t="shared" si="28"/>
        <v/>
      </c>
      <c r="Q49" s="7" t="str">
        <f t="shared" si="28"/>
        <v/>
      </c>
      <c r="R49" s="7" t="str">
        <f t="shared" si="28"/>
        <v/>
      </c>
      <c r="S49" s="7" t="str">
        <f t="shared" si="28"/>
        <v/>
      </c>
      <c r="T49" s="7" t="str">
        <f t="shared" si="28"/>
        <v/>
      </c>
      <c r="U49" s="8" t="str">
        <f t="shared" si="28"/>
        <v/>
      </c>
    </row>
    <row r="50" spans="1:21" ht="13" outlineLevel="1">
      <c r="A50" s="210"/>
      <c r="B50" s="236" t="s">
        <v>228</v>
      </c>
      <c r="C50" s="21">
        <f t="shared" si="1"/>
        <v>0</v>
      </c>
      <c r="D50" s="7" t="str">
        <f t="shared" ref="D50:I50" si="29">IF($C18&gt;$C$35,D18,"")</f>
        <v/>
      </c>
      <c r="E50" s="47" t="str">
        <f t="shared" si="29"/>
        <v/>
      </c>
      <c r="F50" s="76" t="str">
        <f t="shared" si="29"/>
        <v/>
      </c>
      <c r="G50" s="76" t="str">
        <f t="shared" si="29"/>
        <v/>
      </c>
      <c r="H50" s="76" t="str">
        <f t="shared" si="29"/>
        <v/>
      </c>
      <c r="I50" s="76" t="str">
        <f t="shared" si="29"/>
        <v/>
      </c>
      <c r="J50" s="7"/>
      <c r="K50" s="47" t="str">
        <f t="shared" si="3"/>
        <v/>
      </c>
      <c r="L50" s="48" t="b">
        <v>0</v>
      </c>
      <c r="M50" s="7" t="str">
        <f t="shared" ref="M50:U50" si="30">IF($L50=TRUE,C50,"")</f>
        <v/>
      </c>
      <c r="N50" s="7" t="str">
        <f t="shared" si="30"/>
        <v/>
      </c>
      <c r="O50" s="7" t="str">
        <f t="shared" si="30"/>
        <v/>
      </c>
      <c r="P50" s="7" t="str">
        <f t="shared" si="30"/>
        <v/>
      </c>
      <c r="Q50" s="7" t="str">
        <f t="shared" si="30"/>
        <v/>
      </c>
      <c r="R50" s="7" t="str">
        <f t="shared" si="30"/>
        <v/>
      </c>
      <c r="S50" s="7" t="str">
        <f t="shared" si="30"/>
        <v/>
      </c>
      <c r="T50" s="7" t="str">
        <f t="shared" si="30"/>
        <v/>
      </c>
      <c r="U50" s="8" t="str">
        <f t="shared" si="30"/>
        <v/>
      </c>
    </row>
    <row r="51" spans="1:21" ht="50" outlineLevel="1">
      <c r="A51" s="211"/>
      <c r="B51" s="211"/>
      <c r="C51" s="27">
        <f t="shared" si="1"/>
        <v>3</v>
      </c>
      <c r="D51" s="7" t="str">
        <f t="shared" ref="D51:I51" si="31">IF($C19&gt;$C$35,D19,"")</f>
        <v>2.OA.C.4</v>
      </c>
      <c r="E51" s="47" t="str">
        <f t="shared" si="31"/>
        <v>Use addition to find the total number of objects arranged in rectangular arrays with up to 5 rows and up to 5 columns; write an equation to express the total as a sum of equal addends.</v>
      </c>
      <c r="F51" s="76" t="b">
        <f t="shared" si="31"/>
        <v>1</v>
      </c>
      <c r="G51" s="76" t="b">
        <f t="shared" si="31"/>
        <v>1</v>
      </c>
      <c r="H51" s="76" t="b">
        <f t="shared" si="31"/>
        <v>1</v>
      </c>
      <c r="I51" s="76" t="b">
        <f t="shared" si="31"/>
        <v>0</v>
      </c>
      <c r="J51" s="7"/>
      <c r="K51" s="47" t="str">
        <f t="shared" si="3"/>
        <v>R - exposure of foundational school for next 
E- builds for multiplication understanding for third 
grade</v>
      </c>
      <c r="L51" s="48" t="b">
        <v>1</v>
      </c>
      <c r="M51" s="7">
        <f t="shared" ref="M51:U51" si="32">IF($L51=TRUE,C51,"")</f>
        <v>3</v>
      </c>
      <c r="N51" s="7" t="str">
        <f t="shared" si="32"/>
        <v>2.OA.C.4</v>
      </c>
      <c r="O51" s="7" t="str">
        <f t="shared" si="32"/>
        <v>Use addition to find the total number of objects arranged in rectangular arrays with up to 5 rows and up to 5 columns; write an equation to express the total as a sum of equal addends.</v>
      </c>
      <c r="P51" s="7" t="b">
        <f t="shared" si="32"/>
        <v>1</v>
      </c>
      <c r="Q51" s="7" t="b">
        <f t="shared" si="32"/>
        <v>1</v>
      </c>
      <c r="R51" s="7" t="b">
        <f t="shared" si="32"/>
        <v>1</v>
      </c>
      <c r="S51" s="7" t="b">
        <f t="shared" si="32"/>
        <v>0</v>
      </c>
      <c r="T51" s="7">
        <f t="shared" si="32"/>
        <v>0</v>
      </c>
      <c r="U51" s="8" t="str">
        <f t="shared" si="32"/>
        <v>R - exposure of foundational school for next 
E- builds for multiplication understanding for third 
grade</v>
      </c>
    </row>
    <row r="52" spans="1:21" ht="62.5" outlineLevel="1">
      <c r="A52" s="215" t="s">
        <v>39</v>
      </c>
      <c r="B52" s="220" t="s">
        <v>167</v>
      </c>
      <c r="C52" s="21">
        <f t="shared" si="1"/>
        <v>4</v>
      </c>
      <c r="D52" s="7" t="str">
        <f t="shared" ref="D52:I52" si="33">IF($C20&gt;$C$35,D20,"")</f>
        <v>2.G.A.1</v>
      </c>
      <c r="E52" s="47" t="str">
        <f t="shared" si="33"/>
        <v>Recognize and draw shapes having specified attributes, such as a given number of angles or a given number of equal faces. Identify triangles, quadrilaterals, pentagons, hexagons, and cubes</v>
      </c>
      <c r="F52" s="76" t="b">
        <f t="shared" si="33"/>
        <v>1</v>
      </c>
      <c r="G52" s="76" t="b">
        <f t="shared" si="33"/>
        <v>1</v>
      </c>
      <c r="H52" s="76" t="b">
        <f t="shared" si="33"/>
        <v>1</v>
      </c>
      <c r="I52" s="76" t="b">
        <f t="shared" si="33"/>
        <v>1</v>
      </c>
      <c r="J52" s="7"/>
      <c r="K52" s="47" t="str">
        <f t="shared" si="3"/>
        <v>R- identification of shapes and attributes needed for 3rd grade
E - will continue building on this knowledge through the year and in future grades
A - MAP, L  - future geometry classes</v>
      </c>
      <c r="L52" s="48" t="b">
        <v>0</v>
      </c>
      <c r="M52" s="7" t="str">
        <f t="shared" ref="M52:U52" si="34">IF($L52=TRUE,C52,"")</f>
        <v/>
      </c>
      <c r="N52" s="7" t="str">
        <f t="shared" si="34"/>
        <v/>
      </c>
      <c r="O52" s="7" t="str">
        <f t="shared" si="34"/>
        <v/>
      </c>
      <c r="P52" s="7" t="str">
        <f t="shared" si="34"/>
        <v/>
      </c>
      <c r="Q52" s="7" t="str">
        <f t="shared" si="34"/>
        <v/>
      </c>
      <c r="R52" s="7" t="str">
        <f t="shared" si="34"/>
        <v/>
      </c>
      <c r="S52" s="7" t="str">
        <f t="shared" si="34"/>
        <v/>
      </c>
      <c r="T52" s="7" t="str">
        <f t="shared" si="34"/>
        <v/>
      </c>
      <c r="U52" s="8" t="str">
        <f t="shared" si="34"/>
        <v/>
      </c>
    </row>
    <row r="53" spans="1:21" ht="13" outlineLevel="1">
      <c r="A53" s="210"/>
      <c r="B53" s="210"/>
      <c r="C53" s="21">
        <f t="shared" si="1"/>
        <v>0</v>
      </c>
      <c r="D53" s="7" t="str">
        <f t="shared" ref="D53:I53" si="35">IF($C21&gt;$C$35,D21,"")</f>
        <v/>
      </c>
      <c r="E53" s="47" t="str">
        <f t="shared" si="35"/>
        <v/>
      </c>
      <c r="F53" s="76" t="str">
        <f t="shared" si="35"/>
        <v/>
      </c>
      <c r="G53" s="76" t="str">
        <f t="shared" si="35"/>
        <v/>
      </c>
      <c r="H53" s="76" t="str">
        <f t="shared" si="35"/>
        <v/>
      </c>
      <c r="I53" s="76" t="str">
        <f t="shared" si="35"/>
        <v/>
      </c>
      <c r="J53" s="7"/>
      <c r="K53" s="47" t="str">
        <f t="shared" si="3"/>
        <v/>
      </c>
      <c r="L53" s="48" t="b">
        <v>0</v>
      </c>
      <c r="M53" s="7" t="str">
        <f t="shared" ref="M53:U53" si="36">IF($L53=TRUE,C53,"")</f>
        <v/>
      </c>
      <c r="N53" s="7" t="str">
        <f t="shared" si="36"/>
        <v/>
      </c>
      <c r="O53" s="7" t="str">
        <f t="shared" si="36"/>
        <v/>
      </c>
      <c r="P53" s="7" t="str">
        <f t="shared" si="36"/>
        <v/>
      </c>
      <c r="Q53" s="7" t="str">
        <f t="shared" si="36"/>
        <v/>
      </c>
      <c r="R53" s="7" t="str">
        <f t="shared" si="36"/>
        <v/>
      </c>
      <c r="S53" s="7" t="str">
        <f t="shared" si="36"/>
        <v/>
      </c>
      <c r="T53" s="7" t="str">
        <f t="shared" si="36"/>
        <v/>
      </c>
      <c r="U53" s="8" t="str">
        <f t="shared" si="36"/>
        <v/>
      </c>
    </row>
    <row r="54" spans="1:21" ht="18.75" customHeight="1" outlineLevel="1">
      <c r="A54" s="211"/>
      <c r="B54" s="211"/>
      <c r="C54" s="27">
        <f t="shared" si="1"/>
        <v>4</v>
      </c>
      <c r="D54" s="7" t="str">
        <f t="shared" ref="D54:I54" si="37">IF($C22&gt;$C$35,D22,"")</f>
        <v>2.G.A.3</v>
      </c>
      <c r="E54" s="47" t="str">
        <f t="shared" si="37"/>
        <v>Partition circles and rectangles into two, three, or four equal shares, describe the shares using the words halves, thirds, half of, a third of, etc., and describe the whole as two halves, three thirds, four fourths. Recognize that equal shares of identical wholes need not have the same shape.</v>
      </c>
      <c r="F54" s="76" t="b">
        <f t="shared" si="37"/>
        <v>1</v>
      </c>
      <c r="G54" s="76" t="b">
        <f t="shared" si="37"/>
        <v>1</v>
      </c>
      <c r="H54" s="76" t="b">
        <f t="shared" si="37"/>
        <v>1</v>
      </c>
      <c r="I54" s="76" t="b">
        <f t="shared" si="37"/>
        <v>1</v>
      </c>
      <c r="J54" s="7"/>
      <c r="K54" s="47" t="str">
        <f t="shared" si="3"/>
        <v>R - continued exposure as needed to continuing progression. A - MAP</v>
      </c>
      <c r="L54" s="48" t="b">
        <v>1</v>
      </c>
      <c r="M54" s="7">
        <f t="shared" ref="M54:U54" si="38">IF($L54=TRUE,C54,"")</f>
        <v>4</v>
      </c>
      <c r="N54" s="7" t="str">
        <f t="shared" si="38"/>
        <v>2.G.A.3</v>
      </c>
      <c r="O54" s="7" t="str">
        <f t="shared" si="38"/>
        <v>Partition circles and rectangles into two, three, or four equal shares, describe the shares using the words halves, thirds, half of, a third of, etc., and describe the whole as two halves, three thirds, four fourths. Recognize that equal shares of identical wholes need not have the same shape.</v>
      </c>
      <c r="P54" s="7" t="b">
        <f t="shared" si="38"/>
        <v>1</v>
      </c>
      <c r="Q54" s="7" t="b">
        <f t="shared" si="38"/>
        <v>1</v>
      </c>
      <c r="R54" s="7" t="b">
        <f t="shared" si="38"/>
        <v>1</v>
      </c>
      <c r="S54" s="7" t="b">
        <f t="shared" si="38"/>
        <v>1</v>
      </c>
      <c r="T54" s="7">
        <f t="shared" si="38"/>
        <v>0</v>
      </c>
      <c r="U54" s="8" t="str">
        <f t="shared" si="38"/>
        <v>R - continued exposure as needed to continuing progression. A - MAP</v>
      </c>
    </row>
    <row r="55" spans="1:21" ht="37.5" outlineLevel="1">
      <c r="A55" s="222" t="s">
        <v>57</v>
      </c>
      <c r="B55" s="243" t="s">
        <v>242</v>
      </c>
      <c r="C55" s="21">
        <f t="shared" si="1"/>
        <v>3</v>
      </c>
      <c r="D55" s="7" t="str">
        <f t="shared" ref="D55:I55" si="39">IF($C23&gt;$C$35,D23,"")</f>
        <v>2.MD.A.1</v>
      </c>
      <c r="E55" s="47" t="str">
        <f t="shared" si="39"/>
        <v>Measure the length of an object by selecting and using appropriate tools such as rulers, yardsticks, meter sticks, and measuring tapes.</v>
      </c>
      <c r="F55" s="76" t="b">
        <f t="shared" si="39"/>
        <v>1</v>
      </c>
      <c r="G55" s="76" t="b">
        <f t="shared" si="39"/>
        <v>0</v>
      </c>
      <c r="H55" s="76" t="b">
        <f t="shared" si="39"/>
        <v>1</v>
      </c>
      <c r="I55" s="76" t="b">
        <f t="shared" si="39"/>
        <v>1</v>
      </c>
      <c r="J55" s="7"/>
      <c r="K55" s="47" t="str">
        <f t="shared" si="3"/>
        <v>R - continued exposure as needed to continuing progression. A - MAP L- science</v>
      </c>
      <c r="L55" s="49" t="b">
        <v>0</v>
      </c>
      <c r="M55" s="7" t="str">
        <f t="shared" ref="M55:U55" si="40">IF($L55=TRUE,C55,"")</f>
        <v/>
      </c>
      <c r="N55" s="7" t="str">
        <f t="shared" si="40"/>
        <v/>
      </c>
      <c r="O55" s="7" t="str">
        <f t="shared" si="40"/>
        <v/>
      </c>
      <c r="P55" s="7" t="str">
        <f t="shared" si="40"/>
        <v/>
      </c>
      <c r="Q55" s="7" t="str">
        <f t="shared" si="40"/>
        <v/>
      </c>
      <c r="R55" s="7" t="str">
        <f t="shared" si="40"/>
        <v/>
      </c>
      <c r="S55" s="7" t="str">
        <f t="shared" si="40"/>
        <v/>
      </c>
      <c r="T55" s="7" t="str">
        <f t="shared" si="40"/>
        <v/>
      </c>
      <c r="U55" s="8" t="str">
        <f t="shared" si="40"/>
        <v/>
      </c>
    </row>
    <row r="56" spans="1:21" ht="13" outlineLevel="1">
      <c r="A56" s="210"/>
      <c r="B56" s="210"/>
      <c r="C56" s="21">
        <f t="shared" si="1"/>
        <v>0</v>
      </c>
      <c r="D56" s="7" t="str">
        <f t="shared" ref="D56:I56" si="41">IF($C24&gt;$C$35,D24,"")</f>
        <v/>
      </c>
      <c r="E56" s="47" t="str">
        <f t="shared" si="41"/>
        <v/>
      </c>
      <c r="F56" s="76" t="str">
        <f t="shared" si="41"/>
        <v/>
      </c>
      <c r="G56" s="76" t="str">
        <f t="shared" si="41"/>
        <v/>
      </c>
      <c r="H56" s="76" t="str">
        <f t="shared" si="41"/>
        <v/>
      </c>
      <c r="I56" s="76" t="str">
        <f t="shared" si="41"/>
        <v/>
      </c>
      <c r="J56" s="7"/>
      <c r="K56" s="47" t="str">
        <f t="shared" si="3"/>
        <v/>
      </c>
      <c r="L56" s="48" t="b">
        <v>0</v>
      </c>
      <c r="M56" s="7" t="str">
        <f t="shared" ref="M56:U56" si="42">IF($L56=TRUE,C56,"")</f>
        <v/>
      </c>
      <c r="N56" s="7" t="str">
        <f t="shared" si="42"/>
        <v/>
      </c>
      <c r="O56" s="7" t="str">
        <f t="shared" si="42"/>
        <v/>
      </c>
      <c r="P56" s="7" t="str">
        <f t="shared" si="42"/>
        <v/>
      </c>
      <c r="Q56" s="7" t="str">
        <f t="shared" si="42"/>
        <v/>
      </c>
      <c r="R56" s="7" t="str">
        <f t="shared" si="42"/>
        <v/>
      </c>
      <c r="S56" s="7" t="str">
        <f t="shared" si="42"/>
        <v/>
      </c>
      <c r="T56" s="7" t="str">
        <f t="shared" si="42"/>
        <v/>
      </c>
      <c r="U56" s="8" t="str">
        <f t="shared" si="42"/>
        <v/>
      </c>
    </row>
    <row r="57" spans="1:21" ht="13" outlineLevel="1">
      <c r="A57" s="210"/>
      <c r="B57" s="210"/>
      <c r="C57" s="21">
        <f t="shared" si="1"/>
        <v>0</v>
      </c>
      <c r="D57" s="7" t="str">
        <f t="shared" ref="D57:I57" si="43">IF($C25&gt;$C$35,D25,"")</f>
        <v/>
      </c>
      <c r="E57" s="47" t="str">
        <f t="shared" si="43"/>
        <v/>
      </c>
      <c r="F57" s="76" t="str">
        <f t="shared" si="43"/>
        <v/>
      </c>
      <c r="G57" s="76" t="str">
        <f t="shared" si="43"/>
        <v/>
      </c>
      <c r="H57" s="76" t="str">
        <f t="shared" si="43"/>
        <v/>
      </c>
      <c r="I57" s="76" t="str">
        <f t="shared" si="43"/>
        <v/>
      </c>
      <c r="J57" s="7"/>
      <c r="K57" s="47" t="str">
        <f t="shared" si="3"/>
        <v/>
      </c>
      <c r="L57" s="48" t="b">
        <v>0</v>
      </c>
      <c r="M57" s="7" t="str">
        <f t="shared" ref="M57:U57" si="44">IF($L57=TRUE,C57,"")</f>
        <v/>
      </c>
      <c r="N57" s="7" t="str">
        <f t="shared" si="44"/>
        <v/>
      </c>
      <c r="O57" s="7" t="str">
        <f t="shared" si="44"/>
        <v/>
      </c>
      <c r="P57" s="7" t="str">
        <f t="shared" si="44"/>
        <v/>
      </c>
      <c r="Q57" s="7" t="str">
        <f t="shared" si="44"/>
        <v/>
      </c>
      <c r="R57" s="7" t="str">
        <f t="shared" si="44"/>
        <v/>
      </c>
      <c r="S57" s="7" t="str">
        <f t="shared" si="44"/>
        <v/>
      </c>
      <c r="T57" s="7" t="str">
        <f t="shared" si="44"/>
        <v/>
      </c>
      <c r="U57" s="8" t="str">
        <f t="shared" si="44"/>
        <v/>
      </c>
    </row>
    <row r="58" spans="1:21" ht="13" outlineLevel="1">
      <c r="A58" s="210"/>
      <c r="B58" s="211"/>
      <c r="C58" s="21">
        <f t="shared" si="1"/>
        <v>0</v>
      </c>
      <c r="D58" s="7" t="str">
        <f t="shared" ref="D58:I58" si="45">IF($C26&gt;$C$35,D26,"")</f>
        <v/>
      </c>
      <c r="E58" s="47" t="str">
        <f t="shared" si="45"/>
        <v/>
      </c>
      <c r="F58" s="76" t="str">
        <f t="shared" si="45"/>
        <v/>
      </c>
      <c r="G58" s="76" t="str">
        <f t="shared" si="45"/>
        <v/>
      </c>
      <c r="H58" s="76" t="str">
        <f t="shared" si="45"/>
        <v/>
      </c>
      <c r="I58" s="76" t="str">
        <f t="shared" si="45"/>
        <v/>
      </c>
      <c r="J58" s="7"/>
      <c r="K58" s="47" t="str">
        <f t="shared" si="3"/>
        <v/>
      </c>
      <c r="L58" s="49" t="b">
        <v>0</v>
      </c>
      <c r="M58" s="7" t="str">
        <f t="shared" ref="M58:U58" si="46">IF($L58=TRUE,C58,"")</f>
        <v/>
      </c>
      <c r="N58" s="7" t="str">
        <f t="shared" si="46"/>
        <v/>
      </c>
      <c r="O58" s="7" t="str">
        <f t="shared" si="46"/>
        <v/>
      </c>
      <c r="P58" s="7" t="str">
        <f t="shared" si="46"/>
        <v/>
      </c>
      <c r="Q58" s="7" t="str">
        <f t="shared" si="46"/>
        <v/>
      </c>
      <c r="R58" s="7" t="str">
        <f t="shared" si="46"/>
        <v/>
      </c>
      <c r="S58" s="7" t="str">
        <f t="shared" si="46"/>
        <v/>
      </c>
      <c r="T58" s="7" t="str">
        <f t="shared" si="46"/>
        <v/>
      </c>
      <c r="U58" s="8" t="str">
        <f t="shared" si="46"/>
        <v/>
      </c>
    </row>
    <row r="59" spans="1:21" ht="13" outlineLevel="1">
      <c r="A59" s="210"/>
      <c r="B59" s="223" t="s">
        <v>252</v>
      </c>
      <c r="C59" s="21">
        <f t="shared" si="1"/>
        <v>0</v>
      </c>
      <c r="D59" s="7" t="str">
        <f t="shared" ref="D59:I59" si="47">IF($C27&gt;$C$35,D27,"")</f>
        <v/>
      </c>
      <c r="E59" s="47" t="str">
        <f t="shared" si="47"/>
        <v/>
      </c>
      <c r="F59" s="76" t="str">
        <f t="shared" si="47"/>
        <v/>
      </c>
      <c r="G59" s="76" t="str">
        <f t="shared" si="47"/>
        <v/>
      </c>
      <c r="H59" s="76" t="str">
        <f t="shared" si="47"/>
        <v/>
      </c>
      <c r="I59" s="76" t="str">
        <f t="shared" si="47"/>
        <v/>
      </c>
      <c r="J59" s="7"/>
      <c r="K59" s="47" t="str">
        <f t="shared" si="3"/>
        <v/>
      </c>
      <c r="L59" s="49" t="b">
        <v>0</v>
      </c>
      <c r="M59" s="7" t="str">
        <f t="shared" ref="M59:U59" si="48">IF($L59=TRUE,C59,"")</f>
        <v/>
      </c>
      <c r="N59" s="7" t="str">
        <f t="shared" si="48"/>
        <v/>
      </c>
      <c r="O59" s="7" t="str">
        <f t="shared" si="48"/>
        <v/>
      </c>
      <c r="P59" s="7" t="str">
        <f t="shared" si="48"/>
        <v/>
      </c>
      <c r="Q59" s="7" t="str">
        <f t="shared" si="48"/>
        <v/>
      </c>
      <c r="R59" s="7" t="str">
        <f t="shared" si="48"/>
        <v/>
      </c>
      <c r="S59" s="7" t="str">
        <f t="shared" si="48"/>
        <v/>
      </c>
      <c r="T59" s="7" t="str">
        <f t="shared" si="48"/>
        <v/>
      </c>
      <c r="U59" s="8" t="str">
        <f t="shared" si="48"/>
        <v/>
      </c>
    </row>
    <row r="60" spans="1:21" ht="13" outlineLevel="1">
      <c r="A60" s="210"/>
      <c r="B60" s="211"/>
      <c r="C60" s="21">
        <f t="shared" si="1"/>
        <v>0</v>
      </c>
      <c r="D60" s="7" t="str">
        <f t="shared" ref="D60:I60" si="49">IF($C28&gt;$C$35,D28,"")</f>
        <v/>
      </c>
      <c r="E60" s="47" t="str">
        <f t="shared" si="49"/>
        <v/>
      </c>
      <c r="F60" s="76" t="str">
        <f t="shared" si="49"/>
        <v/>
      </c>
      <c r="G60" s="76" t="str">
        <f t="shared" si="49"/>
        <v/>
      </c>
      <c r="H60" s="76" t="str">
        <f t="shared" si="49"/>
        <v/>
      </c>
      <c r="I60" s="76" t="str">
        <f t="shared" si="49"/>
        <v/>
      </c>
      <c r="J60" s="7"/>
      <c r="K60" s="47" t="str">
        <f t="shared" si="3"/>
        <v/>
      </c>
      <c r="L60" s="48" t="b">
        <v>0</v>
      </c>
      <c r="M60" s="7" t="str">
        <f t="shared" ref="M60:U60" si="50">IF($L60=TRUE,C60,"")</f>
        <v/>
      </c>
      <c r="N60" s="7" t="str">
        <f t="shared" si="50"/>
        <v/>
      </c>
      <c r="O60" s="7" t="str">
        <f t="shared" si="50"/>
        <v/>
      </c>
      <c r="P60" s="7" t="str">
        <f t="shared" si="50"/>
        <v/>
      </c>
      <c r="Q60" s="7" t="str">
        <f t="shared" si="50"/>
        <v/>
      </c>
      <c r="R60" s="7" t="str">
        <f t="shared" si="50"/>
        <v/>
      </c>
      <c r="S60" s="7" t="str">
        <f t="shared" si="50"/>
        <v/>
      </c>
      <c r="T60" s="7" t="str">
        <f t="shared" si="50"/>
        <v/>
      </c>
      <c r="U60" s="8" t="str">
        <f t="shared" si="50"/>
        <v/>
      </c>
    </row>
    <row r="61" spans="1:21" ht="50" outlineLevel="1">
      <c r="A61" s="86"/>
      <c r="B61" s="87"/>
      <c r="C61" s="21">
        <f t="shared" si="1"/>
        <v>3</v>
      </c>
      <c r="D61" s="7" t="str">
        <f t="shared" ref="D61:I61" si="51">IF($C29&gt;$C$35,D29,"")</f>
        <v>2.MD.C.7</v>
      </c>
      <c r="E61" s="47" t="str">
        <f t="shared" si="51"/>
        <v>Tell and write time from analog and digital clocks to the nearest five minutes, using a.m. and p.m.</v>
      </c>
      <c r="F61" s="76" t="b">
        <f t="shared" si="51"/>
        <v>1</v>
      </c>
      <c r="G61" s="76" t="b">
        <f t="shared" si="51"/>
        <v>1</v>
      </c>
      <c r="H61" s="76" t="b">
        <f t="shared" si="51"/>
        <v>1</v>
      </c>
      <c r="I61" s="76" t="b">
        <f t="shared" si="51"/>
        <v>0</v>
      </c>
      <c r="J61" s="7"/>
      <c r="K61" s="47" t="str">
        <f t="shared" si="3"/>
        <v>R - foundational skill needed to be able to tell time to nearest minute. E - everyday life skill. A - MAP. L - needed for multi-disciplines in the future</v>
      </c>
      <c r="L61" s="48" t="b">
        <v>1</v>
      </c>
      <c r="M61" s="7">
        <f t="shared" ref="M61:U61" si="52">IF($L61=TRUE,C61,"")</f>
        <v>3</v>
      </c>
      <c r="N61" s="7" t="str">
        <f t="shared" si="52"/>
        <v>2.MD.C.7</v>
      </c>
      <c r="O61" s="7" t="str">
        <f t="shared" si="52"/>
        <v>Tell and write time from analog and digital clocks to the nearest five minutes, using a.m. and p.m.</v>
      </c>
      <c r="P61" s="7" t="b">
        <f t="shared" si="52"/>
        <v>1</v>
      </c>
      <c r="Q61" s="7" t="b">
        <f t="shared" si="52"/>
        <v>1</v>
      </c>
      <c r="R61" s="7" t="b">
        <f t="shared" si="52"/>
        <v>1</v>
      </c>
      <c r="S61" s="7" t="b">
        <f t="shared" si="52"/>
        <v>0</v>
      </c>
      <c r="T61" s="7">
        <f t="shared" si="52"/>
        <v>0</v>
      </c>
      <c r="U61" s="8" t="str">
        <f t="shared" si="52"/>
        <v>R - foundational skill needed to be able to tell time to nearest minute. E - everyday life skill. A - MAP. L - needed for multi-disciplines in the future</v>
      </c>
    </row>
    <row r="62" spans="1:21" ht="50" outlineLevel="1">
      <c r="A62" s="86"/>
      <c r="B62" s="87"/>
      <c r="C62" s="21">
        <f t="shared" si="1"/>
        <v>4</v>
      </c>
      <c r="D62" s="7" t="str">
        <f t="shared" ref="D62:I62" si="53">IF($C30&gt;$C$35,D30,"")</f>
        <v>2.MD.C.8</v>
      </c>
      <c r="E62" s="47" t="str">
        <f t="shared" si="53"/>
        <v>Solve word problems involving dollar bills, quarters, dimes, nickels, and pennies, using $ and ¢ symbols appropriately. Example: If you have 2 dimes and 3 pennies, how many cents do you have?</v>
      </c>
      <c r="F62" s="76" t="b">
        <f t="shared" si="53"/>
        <v>1</v>
      </c>
      <c r="G62" s="76" t="b">
        <f t="shared" si="53"/>
        <v>1</v>
      </c>
      <c r="H62" s="76" t="b">
        <f t="shared" si="53"/>
        <v>1</v>
      </c>
      <c r="I62" s="76" t="b">
        <f t="shared" si="53"/>
        <v>1</v>
      </c>
      <c r="J62" s="7"/>
      <c r="K62" s="47" t="str">
        <f t="shared" si="3"/>
        <v>R - foundational skill needed to be able to tell time to nearest minute. E - everyday life skill. A - MAP. L - needed for multi-disciplines in the future</v>
      </c>
      <c r="L62" s="48" t="b">
        <v>1</v>
      </c>
      <c r="M62" s="7">
        <f t="shared" ref="M62:U62" si="54">IF($L62=TRUE,C62,"")</f>
        <v>4</v>
      </c>
      <c r="N62" s="7" t="str">
        <f t="shared" si="54"/>
        <v>2.MD.C.8</v>
      </c>
      <c r="O62" s="7" t="str">
        <f t="shared" si="54"/>
        <v>Solve word problems involving dollar bills, quarters, dimes, nickels, and pennies, using $ and ¢ symbols appropriately. Example: If you have 2 dimes and 3 pennies, how many cents do you have?</v>
      </c>
      <c r="P62" s="7" t="b">
        <f t="shared" si="54"/>
        <v>1</v>
      </c>
      <c r="Q62" s="7" t="b">
        <f t="shared" si="54"/>
        <v>1</v>
      </c>
      <c r="R62" s="7" t="b">
        <f t="shared" si="54"/>
        <v>1</v>
      </c>
      <c r="S62" s="7" t="b">
        <f t="shared" si="54"/>
        <v>1</v>
      </c>
      <c r="T62" s="7">
        <f t="shared" si="54"/>
        <v>0</v>
      </c>
      <c r="U62" s="8" t="str">
        <f t="shared" si="54"/>
        <v>R - foundational skill needed to be able to tell time to nearest minute. E - everyday life skill. A - MAP. L - needed for multi-disciplines in the future</v>
      </c>
    </row>
    <row r="63" spans="1:21" ht="13" outlineLevel="1">
      <c r="A63" s="86"/>
      <c r="B63" s="87"/>
      <c r="C63" s="21">
        <f t="shared" si="1"/>
        <v>0</v>
      </c>
      <c r="D63" s="7" t="str">
        <f t="shared" ref="D63:I63" si="55">IF($C31&gt;$C$35,D31,"")</f>
        <v/>
      </c>
      <c r="E63" s="47" t="str">
        <f t="shared" si="55"/>
        <v/>
      </c>
      <c r="F63" s="76" t="str">
        <f t="shared" si="55"/>
        <v/>
      </c>
      <c r="G63" s="76" t="str">
        <f t="shared" si="55"/>
        <v/>
      </c>
      <c r="H63" s="76" t="str">
        <f t="shared" si="55"/>
        <v/>
      </c>
      <c r="I63" s="76" t="str">
        <f t="shared" si="55"/>
        <v/>
      </c>
      <c r="J63" s="7"/>
      <c r="K63" s="47" t="str">
        <f t="shared" si="3"/>
        <v/>
      </c>
      <c r="L63" s="48" t="b">
        <v>0</v>
      </c>
      <c r="M63" s="7" t="str">
        <f t="shared" ref="M63:U63" si="56">IF($L63=TRUE,C63,"")</f>
        <v/>
      </c>
      <c r="N63" s="7" t="str">
        <f t="shared" si="56"/>
        <v/>
      </c>
      <c r="O63" s="7" t="str">
        <f t="shared" si="56"/>
        <v/>
      </c>
      <c r="P63" s="7" t="str">
        <f t="shared" si="56"/>
        <v/>
      </c>
      <c r="Q63" s="7" t="str">
        <f t="shared" si="56"/>
        <v/>
      </c>
      <c r="R63" s="7" t="str">
        <f t="shared" si="56"/>
        <v/>
      </c>
      <c r="S63" s="7" t="str">
        <f t="shared" si="56"/>
        <v/>
      </c>
      <c r="T63" s="7" t="str">
        <f t="shared" si="56"/>
        <v/>
      </c>
      <c r="U63" s="8" t="str">
        <f t="shared" si="56"/>
        <v/>
      </c>
    </row>
    <row r="64" spans="1:21" ht="75" outlineLevel="1">
      <c r="A64" s="86"/>
      <c r="B64" s="87"/>
      <c r="C64" s="21">
        <f t="shared" si="1"/>
        <v>4</v>
      </c>
      <c r="D64" s="7" t="str">
        <f t="shared" ref="D64:I64" si="57">IF($C32&gt;$C$35,D32,"")</f>
        <v>2.MD.D.10</v>
      </c>
      <c r="E64" s="47" t="str">
        <f t="shared" si="57"/>
        <v>Draw a picture graph and a bar graph (with single-unit scale) to represent a data set with up to four categories. Solve simple put-together, take-apart, and compare problems using information presented in a bar graph.</v>
      </c>
      <c r="F64" s="76" t="b">
        <f t="shared" si="57"/>
        <v>1</v>
      </c>
      <c r="G64" s="76" t="b">
        <f t="shared" si="57"/>
        <v>1</v>
      </c>
      <c r="H64" s="76" t="b">
        <f t="shared" si="57"/>
        <v>1</v>
      </c>
      <c r="I64" s="76" t="b">
        <f t="shared" si="57"/>
        <v>1</v>
      </c>
      <c r="J64" s="7"/>
      <c r="K64" s="47" t="str">
        <f t="shared" si="3"/>
        <v>R - foundation for real life situations with surveys and data collection. E - used throughout the year and in future grades for comparing data and developing solutions. A - MAP. L - Science and real life surveys and data collection in multiple disciplines</v>
      </c>
      <c r="L64" s="48" t="b">
        <v>1</v>
      </c>
      <c r="M64" s="7">
        <f t="shared" ref="M64:U64" si="58">IF($L64=TRUE,C64,"")</f>
        <v>4</v>
      </c>
      <c r="N64" s="7" t="str">
        <f t="shared" si="58"/>
        <v>2.MD.D.10</v>
      </c>
      <c r="O64" s="7" t="str">
        <f t="shared" si="58"/>
        <v>Draw a picture graph and a bar graph (with single-unit scale) to represent a data set with up to four categories. Solve simple put-together, take-apart, and compare problems using information presented in a bar graph.</v>
      </c>
      <c r="P64" s="7" t="b">
        <f t="shared" si="58"/>
        <v>1</v>
      </c>
      <c r="Q64" s="7" t="b">
        <f t="shared" si="58"/>
        <v>1</v>
      </c>
      <c r="R64" s="7" t="b">
        <f t="shared" si="58"/>
        <v>1</v>
      </c>
      <c r="S64" s="7" t="b">
        <f t="shared" si="58"/>
        <v>1</v>
      </c>
      <c r="T64" s="7">
        <f t="shared" si="58"/>
        <v>0</v>
      </c>
      <c r="U64" s="8" t="str">
        <f t="shared" si="58"/>
        <v>R - foundation for real life situations with surveys and data collection. E - used throughout the year and in future grades for comparing data and developing solutions. A - MAP. L - Science and real life surveys and data collection in multiple disciplines</v>
      </c>
    </row>
    <row r="65" spans="1:21" ht="13" outlineLevel="1">
      <c r="A65" s="86"/>
      <c r="B65" s="87"/>
      <c r="C65" s="21">
        <f t="shared" si="1"/>
        <v>0</v>
      </c>
      <c r="D65" s="7" t="str">
        <f t="shared" ref="D65:I65" si="59">IF($C33&gt;$C$35,D33,"")</f>
        <v/>
      </c>
      <c r="E65" s="47" t="str">
        <f t="shared" si="59"/>
        <v/>
      </c>
      <c r="F65" s="76" t="str">
        <f t="shared" si="59"/>
        <v/>
      </c>
      <c r="G65" s="76" t="str">
        <f t="shared" si="59"/>
        <v/>
      </c>
      <c r="H65" s="76" t="str">
        <f t="shared" si="59"/>
        <v/>
      </c>
      <c r="I65" s="76" t="str">
        <f t="shared" si="59"/>
        <v/>
      </c>
      <c r="J65" s="7"/>
      <c r="K65" s="47" t="str">
        <f t="shared" si="3"/>
        <v/>
      </c>
      <c r="L65" s="48" t="b">
        <v>0</v>
      </c>
      <c r="M65" s="7"/>
      <c r="N65" s="7"/>
      <c r="O65" s="7"/>
      <c r="P65" s="7"/>
      <c r="Q65" s="7"/>
      <c r="R65" s="7"/>
      <c r="S65" s="7"/>
      <c r="T65" s="7"/>
      <c r="U65" s="7"/>
    </row>
    <row r="66" spans="1:21" ht="13" outlineLevel="1">
      <c r="A66" s="86"/>
      <c r="B66" s="87"/>
      <c r="C66" s="21">
        <f t="shared" si="1"/>
        <v>0</v>
      </c>
      <c r="D66" s="7"/>
      <c r="E66" s="47"/>
      <c r="F66" s="76"/>
      <c r="G66" s="76"/>
      <c r="H66" s="76"/>
      <c r="I66" s="76"/>
      <c r="J66" s="7"/>
      <c r="K66" s="47"/>
      <c r="L66" s="48" t="b">
        <v>0</v>
      </c>
      <c r="M66" s="7"/>
      <c r="N66" s="7"/>
      <c r="O66" s="7"/>
      <c r="P66" s="7"/>
      <c r="Q66" s="7"/>
      <c r="R66" s="7"/>
      <c r="S66" s="7"/>
      <c r="T66" s="7"/>
      <c r="U66" s="7"/>
    </row>
    <row r="67" spans="1:21" ht="13" outlineLevel="1">
      <c r="A67" s="86"/>
      <c r="B67" s="87"/>
      <c r="C67" s="21">
        <f t="shared" si="1"/>
        <v>0</v>
      </c>
      <c r="D67" s="7"/>
      <c r="E67" s="47"/>
      <c r="F67" s="76"/>
      <c r="G67" s="76"/>
      <c r="H67" s="76"/>
      <c r="I67" s="76"/>
      <c r="J67" s="7"/>
      <c r="K67" s="47"/>
      <c r="L67" s="48" t="b">
        <v>0</v>
      </c>
      <c r="M67" s="7"/>
      <c r="N67" s="7"/>
      <c r="O67" s="7"/>
      <c r="P67" s="7"/>
      <c r="Q67" s="7"/>
      <c r="R67" s="7"/>
      <c r="S67" s="7"/>
      <c r="T67" s="7"/>
      <c r="U67" s="7"/>
    </row>
    <row r="68" spans="1:21" ht="13" outlineLevel="1">
      <c r="A68" s="86"/>
      <c r="B68" s="87"/>
      <c r="C68" s="21">
        <f t="shared" si="1"/>
        <v>0</v>
      </c>
      <c r="D68" s="7"/>
      <c r="E68" s="47"/>
      <c r="F68" s="76"/>
      <c r="G68" s="76"/>
      <c r="H68" s="76"/>
      <c r="I68" s="76"/>
      <c r="J68" s="7"/>
      <c r="K68" s="47"/>
      <c r="L68" s="48" t="b">
        <v>0</v>
      </c>
      <c r="M68" s="7"/>
      <c r="N68" s="7"/>
      <c r="O68" s="7"/>
      <c r="P68" s="7"/>
      <c r="Q68" s="7"/>
      <c r="R68" s="7"/>
      <c r="S68" s="7"/>
      <c r="T68" s="7"/>
      <c r="U68" s="7"/>
    </row>
    <row r="69" spans="1:21" ht="13" outlineLevel="1">
      <c r="A69" s="86"/>
      <c r="B69" s="87"/>
      <c r="C69" s="88"/>
      <c r="D69" s="7"/>
      <c r="E69" s="47"/>
      <c r="F69" s="76"/>
      <c r="G69" s="76"/>
      <c r="H69" s="76"/>
      <c r="I69" s="76"/>
      <c r="J69" s="7"/>
      <c r="K69" s="47"/>
      <c r="L69" s="48" t="b">
        <v>0</v>
      </c>
      <c r="M69" s="7"/>
      <c r="N69" s="7"/>
      <c r="O69" s="7"/>
      <c r="P69" s="7"/>
      <c r="Q69" s="7"/>
      <c r="R69" s="7"/>
      <c r="S69" s="7"/>
      <c r="T69" s="7"/>
      <c r="U69" s="7"/>
    </row>
    <row r="70" spans="1:21" ht="13" outlineLevel="1">
      <c r="A70" s="86"/>
      <c r="B70" s="87"/>
      <c r="C70" s="88"/>
      <c r="D70" s="7"/>
      <c r="E70" s="47"/>
      <c r="F70" s="76"/>
      <c r="G70" s="76"/>
      <c r="H70" s="76"/>
      <c r="I70" s="76"/>
      <c r="J70" s="7"/>
      <c r="K70" s="47"/>
      <c r="L70" s="48" t="b">
        <v>0</v>
      </c>
      <c r="M70" s="7"/>
      <c r="N70" s="7"/>
      <c r="O70" s="7"/>
      <c r="P70" s="7"/>
      <c r="Q70" s="7"/>
      <c r="R70" s="7"/>
      <c r="S70" s="7"/>
      <c r="T70" s="7"/>
      <c r="U70" s="7"/>
    </row>
  </sheetData>
  <mergeCells count="30">
    <mergeCell ref="A35:B35"/>
    <mergeCell ref="A36:B36"/>
    <mergeCell ref="A37:A47"/>
    <mergeCell ref="B38:B42"/>
    <mergeCell ref="B43:B47"/>
    <mergeCell ref="A48:A51"/>
    <mergeCell ref="A52:A54"/>
    <mergeCell ref="A55:A60"/>
    <mergeCell ref="B52:B54"/>
    <mergeCell ref="B55:B58"/>
    <mergeCell ref="B59:B60"/>
    <mergeCell ref="B50:B51"/>
    <mergeCell ref="B29:B30"/>
    <mergeCell ref="B31:B32"/>
    <mergeCell ref="F34:G34"/>
    <mergeCell ref="A16:A19"/>
    <mergeCell ref="B18:B19"/>
    <mergeCell ref="A20:A22"/>
    <mergeCell ref="B20:B22"/>
    <mergeCell ref="A23:A32"/>
    <mergeCell ref="B23:B26"/>
    <mergeCell ref="B27:B28"/>
    <mergeCell ref="A34:B34"/>
    <mergeCell ref="A2:B2"/>
    <mergeCell ref="C2:K2"/>
    <mergeCell ref="A3:K3"/>
    <mergeCell ref="A4:B4"/>
    <mergeCell ref="A5:A15"/>
    <mergeCell ref="B6:B10"/>
    <mergeCell ref="B11:B15"/>
  </mergeCells>
  <conditionalFormatting sqref="D34">
    <cfRule type="expression" dxfId="49" priority="1">
      <formula>D34&lt;=K34</formula>
    </cfRule>
  </conditionalFormatting>
  <conditionalFormatting sqref="D34">
    <cfRule type="expression" dxfId="48" priority="2">
      <formula>D34&gt;K34</formula>
    </cfRule>
  </conditionalFormatting>
  <conditionalFormatting sqref="L37">
    <cfRule type="expression" dxfId="47" priority="3">
      <formula>not</formula>
    </cfRule>
  </conditionalFormatting>
  <conditionalFormatting sqref="F37:I70">
    <cfRule type="cellIs" dxfId="46" priority="4" operator="equal">
      <formula>"TRUE"</formula>
    </cfRule>
  </conditionalFormatting>
  <conditionalFormatting sqref="F37:I70">
    <cfRule type="cellIs" dxfId="45" priority="5" operator="equal">
      <formula>"FALSE"</formula>
    </cfRule>
  </conditionalFormatting>
  <conditionalFormatting sqref="C5:C32 C37:C70">
    <cfRule type="cellIs" dxfId="44" priority="6" operator="equal">
      <formula>0</formula>
    </cfRule>
  </conditionalFormatting>
  <conditionalFormatting sqref="C5:C32 C37:C70">
    <cfRule type="cellIs" dxfId="43" priority="7" operator="equal">
      <formula>1</formula>
    </cfRule>
  </conditionalFormatting>
  <conditionalFormatting sqref="C5:C32 C37:C70">
    <cfRule type="cellIs" dxfId="42" priority="8" operator="equal">
      <formula>2</formula>
    </cfRule>
  </conditionalFormatting>
  <conditionalFormatting sqref="C5:C32 C37:C70">
    <cfRule type="cellIs" dxfId="41" priority="9" operator="equal">
      <formula>3</formula>
    </cfRule>
  </conditionalFormatting>
  <conditionalFormatting sqref="C5:C32 C37:C70">
    <cfRule type="cellIs" dxfId="40" priority="10" operator="equal">
      <formula>4</formula>
    </cfRule>
  </conditionalFormatting>
  <printOptions horizontalCentered="1" gridLines="1"/>
  <pageMargins left="0.7" right="0.7" top="0.75" bottom="0.75" header="0" footer="0"/>
  <pageSetup fitToHeight="0" pageOrder="overThenDown" orientation="landscape" cellComments="atEnd"/>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B6D7A8"/>
    <outlinePr summaryBelow="0" summaryRight="0"/>
  </sheetPr>
  <dimension ref="A1:U88"/>
  <sheetViews>
    <sheetView workbookViewId="0">
      <pane ySplit="4" topLeftCell="A5" activePane="bottomLeft" state="frozen"/>
      <selection pane="bottomLeft" activeCell="B6" sqref="B6"/>
    </sheetView>
  </sheetViews>
  <sheetFormatPr defaultColWidth="12.6328125" defaultRowHeight="15.75" customHeight="1" outlineLevelRow="1" outlineLevelCol="1"/>
  <cols>
    <col min="1" max="1" width="4.453125" customWidth="1"/>
    <col min="2" max="2" width="13.90625" customWidth="1"/>
    <col min="3" max="3" width="4.453125" customWidth="1"/>
    <col min="4" max="4" width="9.453125" customWidth="1"/>
    <col min="5" max="5" width="50.08984375" customWidth="1"/>
    <col min="6" max="9" width="2.6328125" customWidth="1"/>
    <col min="10" max="10" width="0.7265625" customWidth="1"/>
    <col min="11" max="11" width="37.6328125" customWidth="1"/>
    <col min="12" max="12" width="7.6328125" customWidth="1" collapsed="1"/>
    <col min="13" max="21" width="12.6328125" hidden="1" outlineLevel="1"/>
  </cols>
  <sheetData>
    <row r="1" spans="1:21" ht="4.5" customHeight="1">
      <c r="A1" s="5"/>
      <c r="B1" s="6"/>
      <c r="C1" s="6"/>
      <c r="D1" s="6"/>
      <c r="E1" s="6"/>
      <c r="F1" s="6"/>
      <c r="G1" s="6"/>
      <c r="H1" s="6"/>
      <c r="I1" s="6"/>
      <c r="J1" s="6"/>
      <c r="K1" s="89"/>
      <c r="L1" s="7"/>
      <c r="M1" s="7"/>
      <c r="N1" s="7"/>
      <c r="O1" s="7"/>
      <c r="P1" s="7"/>
      <c r="Q1" s="7"/>
      <c r="R1" s="7"/>
      <c r="S1" s="7"/>
      <c r="T1" s="7"/>
      <c r="U1" s="7"/>
    </row>
    <row r="2" spans="1:21" ht="13.5" outlineLevel="1">
      <c r="A2" s="202" t="s">
        <v>6</v>
      </c>
      <c r="B2" s="203"/>
      <c r="C2" s="204" t="s">
        <v>7</v>
      </c>
      <c r="D2" s="203"/>
      <c r="E2" s="203"/>
      <c r="F2" s="203"/>
      <c r="G2" s="203"/>
      <c r="H2" s="203"/>
      <c r="I2" s="203"/>
      <c r="J2" s="203"/>
      <c r="K2" s="203"/>
      <c r="L2" s="7"/>
      <c r="M2" s="7"/>
      <c r="N2" s="7"/>
      <c r="O2" s="7"/>
      <c r="P2" s="7"/>
      <c r="Q2" s="7"/>
      <c r="R2" s="7"/>
      <c r="S2" s="7"/>
      <c r="T2" s="7"/>
      <c r="U2" s="7"/>
    </row>
    <row r="3" spans="1:21" ht="15.5">
      <c r="A3" s="231" t="s">
        <v>268</v>
      </c>
      <c r="B3" s="203"/>
      <c r="C3" s="203"/>
      <c r="D3" s="203"/>
      <c r="E3" s="203"/>
      <c r="F3" s="203"/>
      <c r="G3" s="203"/>
      <c r="H3" s="203"/>
      <c r="I3" s="203"/>
      <c r="J3" s="203"/>
      <c r="K3" s="206"/>
      <c r="L3" s="43"/>
      <c r="M3" s="43"/>
      <c r="N3" s="43"/>
      <c r="O3" s="43"/>
      <c r="P3" s="43"/>
      <c r="Q3" s="43"/>
      <c r="R3" s="43"/>
      <c r="S3" s="43"/>
      <c r="T3" s="43"/>
      <c r="U3" s="43"/>
    </row>
    <row r="4" spans="1:21" ht="15.5" outlineLevel="1">
      <c r="A4" s="232" t="s">
        <v>9</v>
      </c>
      <c r="B4" s="206"/>
      <c r="C4" s="51" t="s">
        <v>10</v>
      </c>
      <c r="D4" s="81" t="s">
        <v>11</v>
      </c>
      <c r="E4" s="53" t="s">
        <v>12</v>
      </c>
      <c r="F4" s="51" t="s">
        <v>13</v>
      </c>
      <c r="G4" s="51" t="s">
        <v>14</v>
      </c>
      <c r="H4" s="90" t="str">
        <f>HYPERLINK("https://www.gctsd.k12.ar.us/images/testing/aspire_summative_assessment_overview.pdf","A")</f>
        <v>A</v>
      </c>
      <c r="I4" s="51" t="s">
        <v>16</v>
      </c>
      <c r="J4" s="51"/>
      <c r="K4" s="91" t="s">
        <v>17</v>
      </c>
      <c r="L4" s="43"/>
      <c r="M4" s="43"/>
      <c r="N4" s="43"/>
      <c r="O4" s="43"/>
      <c r="P4" s="43"/>
      <c r="Q4" s="43"/>
      <c r="R4" s="43"/>
      <c r="S4" s="43"/>
      <c r="T4" s="43"/>
      <c r="U4" s="43"/>
    </row>
    <row r="5" spans="1:21" ht="50" outlineLevel="1">
      <c r="A5" s="240" t="s">
        <v>18</v>
      </c>
      <c r="B5" s="244" t="s">
        <v>269</v>
      </c>
      <c r="C5" s="21">
        <f t="shared" ref="C5:C44" si="0">COUNTIF(F5:I5,TRUE)</f>
        <v>3</v>
      </c>
      <c r="D5" s="43" t="s">
        <v>270</v>
      </c>
      <c r="E5" s="59" t="s">
        <v>271</v>
      </c>
      <c r="F5" s="60" t="b">
        <v>1</v>
      </c>
      <c r="G5" s="60" t="b">
        <v>0</v>
      </c>
      <c r="H5" s="60" t="b">
        <v>1</v>
      </c>
      <c r="I5" s="60" t="b">
        <v>1</v>
      </c>
      <c r="J5" s="61"/>
      <c r="K5" s="64" t="s">
        <v>272</v>
      </c>
      <c r="L5" s="43"/>
      <c r="M5" s="43"/>
      <c r="N5" s="43"/>
      <c r="O5" s="43"/>
      <c r="P5" s="43"/>
      <c r="Q5" s="43"/>
      <c r="R5" s="43"/>
      <c r="S5" s="43"/>
      <c r="T5" s="43"/>
      <c r="U5" s="43"/>
    </row>
    <row r="6" spans="1:21" ht="50" outlineLevel="1">
      <c r="A6" s="210"/>
      <c r="B6" s="210"/>
      <c r="C6" s="21">
        <f t="shared" si="0"/>
        <v>4</v>
      </c>
      <c r="D6" s="43" t="s">
        <v>273</v>
      </c>
      <c r="E6" s="59" t="s">
        <v>274</v>
      </c>
      <c r="F6" s="60" t="b">
        <v>1</v>
      </c>
      <c r="G6" s="60" t="b">
        <v>1</v>
      </c>
      <c r="H6" s="60" t="b">
        <v>1</v>
      </c>
      <c r="I6" s="60" t="b">
        <v>1</v>
      </c>
      <c r="J6" s="61"/>
      <c r="K6" s="92" t="s">
        <v>275</v>
      </c>
      <c r="L6" s="43"/>
      <c r="M6" s="43"/>
      <c r="N6" s="43"/>
      <c r="O6" s="43"/>
      <c r="P6" s="43"/>
      <c r="Q6" s="43"/>
      <c r="R6" s="43"/>
      <c r="S6" s="43"/>
      <c r="T6" s="43"/>
      <c r="U6" s="43"/>
    </row>
    <row r="7" spans="1:21" ht="62.5" outlineLevel="1">
      <c r="A7" s="210"/>
      <c r="B7" s="210"/>
      <c r="C7" s="27">
        <f t="shared" si="0"/>
        <v>2</v>
      </c>
      <c r="D7" s="55" t="s">
        <v>276</v>
      </c>
      <c r="E7" s="30" t="s">
        <v>277</v>
      </c>
      <c r="F7" s="56" t="b">
        <v>1</v>
      </c>
      <c r="G7" s="56" t="b">
        <v>0</v>
      </c>
      <c r="H7" s="56" t="b">
        <v>1</v>
      </c>
      <c r="I7" s="56" t="b">
        <v>0</v>
      </c>
      <c r="J7" s="57"/>
      <c r="K7" s="67" t="s">
        <v>278</v>
      </c>
      <c r="L7" s="43"/>
      <c r="M7" s="43"/>
      <c r="N7" s="43"/>
      <c r="O7" s="43"/>
      <c r="P7" s="43"/>
      <c r="Q7" s="43"/>
      <c r="R7" s="43"/>
      <c r="S7" s="43"/>
      <c r="T7" s="43"/>
      <c r="U7" s="43"/>
    </row>
    <row r="8" spans="1:21" ht="50" outlineLevel="1">
      <c r="A8" s="210"/>
      <c r="B8" s="210"/>
      <c r="C8" s="21">
        <f t="shared" si="0"/>
        <v>2</v>
      </c>
      <c r="D8" s="70" t="s">
        <v>279</v>
      </c>
      <c r="E8" s="93" t="s">
        <v>280</v>
      </c>
      <c r="F8" s="60" t="b">
        <v>1</v>
      </c>
      <c r="G8" s="60" t="b">
        <v>1</v>
      </c>
      <c r="H8" s="60" t="b">
        <v>0</v>
      </c>
      <c r="I8" s="60" t="b">
        <v>0</v>
      </c>
      <c r="J8" s="61"/>
      <c r="K8" s="64" t="s">
        <v>281</v>
      </c>
      <c r="L8" s="43"/>
      <c r="M8" s="43"/>
      <c r="N8" s="43"/>
      <c r="O8" s="43"/>
      <c r="P8" s="43"/>
      <c r="Q8" s="43"/>
      <c r="R8" s="43"/>
      <c r="S8" s="43"/>
      <c r="T8" s="43"/>
      <c r="U8" s="43"/>
    </row>
    <row r="9" spans="1:21" ht="37.5" outlineLevel="1">
      <c r="A9" s="210"/>
      <c r="B9" s="210"/>
      <c r="C9" s="21">
        <f t="shared" si="0"/>
        <v>2</v>
      </c>
      <c r="D9" s="70" t="s">
        <v>282</v>
      </c>
      <c r="E9" s="93" t="s">
        <v>283</v>
      </c>
      <c r="F9" s="60" t="b">
        <v>1</v>
      </c>
      <c r="G9" s="60" t="b">
        <v>1</v>
      </c>
      <c r="H9" s="60" t="b">
        <v>0</v>
      </c>
      <c r="I9" s="60" t="b">
        <v>0</v>
      </c>
      <c r="J9" s="61"/>
      <c r="K9" s="64" t="s">
        <v>284</v>
      </c>
      <c r="L9" s="43"/>
      <c r="M9" s="43"/>
      <c r="N9" s="43"/>
      <c r="O9" s="43"/>
      <c r="P9" s="43"/>
      <c r="Q9" s="43"/>
      <c r="R9" s="43"/>
      <c r="S9" s="43"/>
      <c r="T9" s="43"/>
      <c r="U9" s="43"/>
    </row>
    <row r="10" spans="1:21" ht="50" outlineLevel="1">
      <c r="A10" s="211"/>
      <c r="B10" s="211"/>
      <c r="C10" s="27">
        <f t="shared" si="0"/>
        <v>2</v>
      </c>
      <c r="D10" s="94" t="s">
        <v>285</v>
      </c>
      <c r="E10" s="95" t="s">
        <v>286</v>
      </c>
      <c r="F10" s="96" t="b">
        <v>1</v>
      </c>
      <c r="G10" s="96" t="b">
        <v>1</v>
      </c>
      <c r="H10" s="96" t="b">
        <v>0</v>
      </c>
      <c r="I10" s="96" t="b">
        <v>0</v>
      </c>
      <c r="J10" s="97"/>
      <c r="K10" s="98" t="s">
        <v>287</v>
      </c>
      <c r="L10" s="43"/>
      <c r="M10" s="43"/>
      <c r="N10" s="43"/>
      <c r="O10" s="43"/>
      <c r="P10" s="43"/>
      <c r="Q10" s="43"/>
      <c r="R10" s="43"/>
      <c r="S10" s="43"/>
      <c r="T10" s="43"/>
      <c r="U10" s="43"/>
    </row>
    <row r="11" spans="1:21" ht="50" outlineLevel="1">
      <c r="A11" s="209" t="s">
        <v>23</v>
      </c>
      <c r="B11" s="228" t="s">
        <v>288</v>
      </c>
      <c r="C11" s="21">
        <f t="shared" si="0"/>
        <v>1</v>
      </c>
      <c r="D11" s="43" t="s">
        <v>289</v>
      </c>
      <c r="E11" s="59" t="s">
        <v>290</v>
      </c>
      <c r="F11" s="60" t="b">
        <v>1</v>
      </c>
      <c r="G11" s="60" t="b">
        <v>0</v>
      </c>
      <c r="H11" s="60" t="b">
        <v>0</v>
      </c>
      <c r="I11" s="60" t="b">
        <v>0</v>
      </c>
      <c r="J11" s="61"/>
      <c r="K11" s="64" t="s">
        <v>291</v>
      </c>
      <c r="L11" s="43"/>
      <c r="M11" s="43"/>
      <c r="N11" s="43"/>
      <c r="O11" s="43"/>
      <c r="P11" s="43"/>
      <c r="Q11" s="43"/>
      <c r="R11" s="43"/>
      <c r="S11" s="43"/>
      <c r="T11" s="43"/>
      <c r="U11" s="43"/>
    </row>
    <row r="12" spans="1:21" ht="87.5" outlineLevel="1">
      <c r="A12" s="210"/>
      <c r="B12" s="210"/>
      <c r="C12" s="21">
        <f t="shared" si="0"/>
        <v>3</v>
      </c>
      <c r="D12" s="43" t="s">
        <v>292</v>
      </c>
      <c r="E12" s="59" t="s">
        <v>293</v>
      </c>
      <c r="F12" s="60" t="b">
        <v>1</v>
      </c>
      <c r="G12" s="99" t="b">
        <v>1</v>
      </c>
      <c r="H12" s="60" t="b">
        <v>1</v>
      </c>
      <c r="I12" s="60" t="b">
        <v>0</v>
      </c>
      <c r="J12" s="61"/>
      <c r="K12" s="100" t="s">
        <v>294</v>
      </c>
      <c r="L12" s="43"/>
      <c r="M12" s="43"/>
      <c r="N12" s="43"/>
      <c r="O12" s="43"/>
      <c r="P12" s="43"/>
      <c r="Q12" s="43"/>
      <c r="R12" s="43"/>
      <c r="S12" s="43"/>
      <c r="T12" s="43"/>
      <c r="U12" s="43"/>
    </row>
    <row r="13" spans="1:21" ht="62.5" outlineLevel="1">
      <c r="A13" s="210"/>
      <c r="B13" s="210"/>
      <c r="C13" s="21">
        <f t="shared" si="0"/>
        <v>4</v>
      </c>
      <c r="D13" s="43" t="s">
        <v>295</v>
      </c>
      <c r="E13" s="59" t="s">
        <v>296</v>
      </c>
      <c r="F13" s="60" t="b">
        <v>1</v>
      </c>
      <c r="G13" s="60" t="b">
        <v>1</v>
      </c>
      <c r="H13" s="60" t="b">
        <v>1</v>
      </c>
      <c r="I13" s="60" t="b">
        <v>1</v>
      </c>
      <c r="J13" s="61"/>
      <c r="K13" s="64" t="s">
        <v>297</v>
      </c>
      <c r="L13" s="43"/>
      <c r="M13" s="43"/>
      <c r="N13" s="43"/>
      <c r="O13" s="43"/>
      <c r="P13" s="43"/>
      <c r="Q13" s="43"/>
      <c r="R13" s="43"/>
      <c r="S13" s="43"/>
      <c r="T13" s="43"/>
      <c r="U13" s="43"/>
    </row>
    <row r="14" spans="1:21" ht="62.5" outlineLevel="1">
      <c r="A14" s="210"/>
      <c r="B14" s="211"/>
      <c r="C14" s="27">
        <f t="shared" si="0"/>
        <v>3</v>
      </c>
      <c r="D14" s="55" t="s">
        <v>298</v>
      </c>
      <c r="E14" s="30" t="s">
        <v>299</v>
      </c>
      <c r="F14" s="56" t="b">
        <v>1</v>
      </c>
      <c r="G14" s="56" t="b">
        <v>1</v>
      </c>
      <c r="H14" s="56" t="b">
        <v>1</v>
      </c>
      <c r="I14" s="56" t="b">
        <v>0</v>
      </c>
      <c r="J14" s="57"/>
      <c r="K14" s="67" t="s">
        <v>300</v>
      </c>
      <c r="L14" s="43"/>
      <c r="M14" s="43"/>
      <c r="N14" s="43"/>
      <c r="O14" s="43"/>
      <c r="P14" s="43"/>
      <c r="Q14" s="43"/>
      <c r="R14" s="43"/>
      <c r="S14" s="43"/>
      <c r="T14" s="43"/>
      <c r="U14" s="43"/>
    </row>
    <row r="15" spans="1:21" ht="100" outlineLevel="1">
      <c r="A15" s="210"/>
      <c r="B15" s="237" t="s">
        <v>301</v>
      </c>
      <c r="C15" s="21">
        <f t="shared" si="0"/>
        <v>2</v>
      </c>
      <c r="D15" s="43" t="s">
        <v>302</v>
      </c>
      <c r="E15" s="59" t="s">
        <v>303</v>
      </c>
      <c r="F15" s="60" t="b">
        <v>1</v>
      </c>
      <c r="G15" s="60" t="b">
        <v>0</v>
      </c>
      <c r="H15" s="60" t="b">
        <v>1</v>
      </c>
      <c r="I15" s="60" t="b">
        <v>0</v>
      </c>
      <c r="J15" s="61"/>
      <c r="K15" s="64" t="s">
        <v>304</v>
      </c>
      <c r="L15" s="43"/>
      <c r="M15" s="43"/>
      <c r="N15" s="43"/>
      <c r="O15" s="43"/>
      <c r="P15" s="43"/>
      <c r="Q15" s="43"/>
      <c r="R15" s="43"/>
      <c r="S15" s="43"/>
      <c r="T15" s="43"/>
      <c r="U15" s="43"/>
    </row>
    <row r="16" spans="1:21" ht="50" outlineLevel="1">
      <c r="A16" s="210"/>
      <c r="B16" s="211"/>
      <c r="C16" s="27">
        <f t="shared" si="0"/>
        <v>2</v>
      </c>
      <c r="D16" s="55" t="s">
        <v>305</v>
      </c>
      <c r="E16" s="30" t="s">
        <v>306</v>
      </c>
      <c r="F16" s="56" t="b">
        <v>1</v>
      </c>
      <c r="G16" s="56" t="b">
        <v>1</v>
      </c>
      <c r="H16" s="56" t="b">
        <v>0</v>
      </c>
      <c r="I16" s="56" t="b">
        <v>0</v>
      </c>
      <c r="J16" s="57"/>
      <c r="K16" s="67" t="s">
        <v>307</v>
      </c>
      <c r="L16" s="43"/>
      <c r="M16" s="43"/>
      <c r="N16" s="43"/>
      <c r="O16" s="43"/>
      <c r="P16" s="43"/>
      <c r="Q16" s="43"/>
      <c r="R16" s="43"/>
      <c r="S16" s="43"/>
      <c r="T16" s="43"/>
      <c r="U16" s="43"/>
    </row>
    <row r="17" spans="1:21" ht="62.5" outlineLevel="1">
      <c r="A17" s="210"/>
      <c r="B17" s="101" t="s">
        <v>308</v>
      </c>
      <c r="C17" s="27">
        <f t="shared" si="0"/>
        <v>4</v>
      </c>
      <c r="D17" s="55" t="s">
        <v>309</v>
      </c>
      <c r="E17" s="30" t="s">
        <v>310</v>
      </c>
      <c r="F17" s="56" t="b">
        <v>1</v>
      </c>
      <c r="G17" s="56" t="b">
        <v>1</v>
      </c>
      <c r="H17" s="56" t="b">
        <v>1</v>
      </c>
      <c r="I17" s="56" t="b">
        <v>1</v>
      </c>
      <c r="J17" s="57"/>
      <c r="K17" s="67" t="s">
        <v>311</v>
      </c>
      <c r="L17" s="43"/>
      <c r="M17" s="43"/>
      <c r="N17" s="43"/>
      <c r="O17" s="43"/>
      <c r="P17" s="43"/>
      <c r="Q17" s="43"/>
      <c r="R17" s="43"/>
      <c r="S17" s="43"/>
      <c r="T17" s="43"/>
      <c r="U17" s="43"/>
    </row>
    <row r="18" spans="1:21" ht="62.5" outlineLevel="1">
      <c r="A18" s="210"/>
      <c r="B18" s="245" t="s">
        <v>312</v>
      </c>
      <c r="C18" s="21">
        <f t="shared" si="0"/>
        <v>3</v>
      </c>
      <c r="D18" s="43" t="s">
        <v>313</v>
      </c>
      <c r="E18" s="59" t="s">
        <v>312</v>
      </c>
      <c r="F18" s="60" t="b">
        <v>1</v>
      </c>
      <c r="G18" s="60" t="b">
        <v>1</v>
      </c>
      <c r="H18" s="60" t="b">
        <v>1</v>
      </c>
      <c r="I18" s="60" t="b">
        <v>0</v>
      </c>
      <c r="J18" s="61"/>
      <c r="K18" s="64" t="s">
        <v>314</v>
      </c>
      <c r="L18" s="43"/>
      <c r="M18" s="43"/>
      <c r="N18" s="43"/>
      <c r="O18" s="43"/>
      <c r="P18" s="43"/>
      <c r="Q18" s="43"/>
      <c r="R18" s="43"/>
      <c r="S18" s="43"/>
      <c r="T18" s="43"/>
      <c r="U18" s="43"/>
    </row>
    <row r="19" spans="1:21" ht="62.5" outlineLevel="1">
      <c r="A19" s="211"/>
      <c r="B19" s="211"/>
      <c r="C19" s="27">
        <f t="shared" si="0"/>
        <v>2</v>
      </c>
      <c r="D19" s="55" t="s">
        <v>315</v>
      </c>
      <c r="E19" s="30" t="s">
        <v>316</v>
      </c>
      <c r="F19" s="56" t="b">
        <v>1</v>
      </c>
      <c r="G19" s="66" t="b">
        <v>0</v>
      </c>
      <c r="H19" s="56" t="b">
        <v>1</v>
      </c>
      <c r="I19" s="56" t="b">
        <v>0</v>
      </c>
      <c r="J19" s="57"/>
      <c r="K19" s="67" t="s">
        <v>317</v>
      </c>
      <c r="L19" s="43"/>
      <c r="M19" s="43"/>
      <c r="N19" s="43"/>
      <c r="O19" s="43"/>
      <c r="P19" s="43"/>
      <c r="Q19" s="43"/>
      <c r="R19" s="43"/>
      <c r="S19" s="43"/>
      <c r="T19" s="43"/>
      <c r="U19" s="43"/>
    </row>
    <row r="20" spans="1:21" ht="87.5" outlineLevel="1">
      <c r="A20" s="215" t="s">
        <v>39</v>
      </c>
      <c r="B20" s="220" t="s">
        <v>167</v>
      </c>
      <c r="C20" s="21">
        <f t="shared" si="0"/>
        <v>3</v>
      </c>
      <c r="D20" s="43" t="s">
        <v>318</v>
      </c>
      <c r="E20" s="59" t="s">
        <v>319</v>
      </c>
      <c r="F20" s="60" t="b">
        <v>1</v>
      </c>
      <c r="G20" s="60" t="b">
        <v>1</v>
      </c>
      <c r="H20" s="60" t="b">
        <v>1</v>
      </c>
      <c r="I20" s="63" t="b">
        <v>0</v>
      </c>
      <c r="J20" s="61"/>
      <c r="K20" s="64" t="s">
        <v>320</v>
      </c>
      <c r="L20" s="43"/>
      <c r="M20" s="43"/>
      <c r="N20" s="43"/>
      <c r="O20" s="43"/>
      <c r="P20" s="43"/>
      <c r="Q20" s="43"/>
      <c r="R20" s="43"/>
      <c r="S20" s="43"/>
      <c r="T20" s="43"/>
      <c r="U20" s="43"/>
    </row>
    <row r="21" spans="1:21" ht="62.5" outlineLevel="1">
      <c r="A21" s="211"/>
      <c r="B21" s="211"/>
      <c r="C21" s="27">
        <f t="shared" si="0"/>
        <v>4</v>
      </c>
      <c r="D21" s="55" t="s">
        <v>321</v>
      </c>
      <c r="E21" s="30" t="s">
        <v>322</v>
      </c>
      <c r="F21" s="56" t="b">
        <v>1</v>
      </c>
      <c r="G21" s="56" t="b">
        <v>1</v>
      </c>
      <c r="H21" s="56" t="b">
        <v>1</v>
      </c>
      <c r="I21" s="56" t="b">
        <v>1</v>
      </c>
      <c r="J21" s="57"/>
      <c r="K21" s="67" t="s">
        <v>323</v>
      </c>
      <c r="L21" s="43"/>
      <c r="M21" s="43"/>
      <c r="N21" s="43"/>
      <c r="O21" s="43"/>
      <c r="P21" s="43"/>
      <c r="Q21" s="43"/>
      <c r="R21" s="43"/>
      <c r="S21" s="43"/>
      <c r="T21" s="43"/>
      <c r="U21" s="43"/>
    </row>
    <row r="22" spans="1:21" ht="50" outlineLevel="1">
      <c r="A22" s="222" t="s">
        <v>57</v>
      </c>
      <c r="B22" s="243" t="s">
        <v>324</v>
      </c>
      <c r="C22" s="21">
        <f t="shared" si="0"/>
        <v>2</v>
      </c>
      <c r="D22" s="43" t="s">
        <v>325</v>
      </c>
      <c r="E22" s="59" t="s">
        <v>326</v>
      </c>
      <c r="F22" s="60" t="b">
        <v>0</v>
      </c>
      <c r="G22" s="60" t="b">
        <v>1</v>
      </c>
      <c r="H22" s="60" t="b">
        <v>1</v>
      </c>
      <c r="I22" s="60" t="b">
        <v>0</v>
      </c>
      <c r="J22" s="61"/>
      <c r="K22" s="64" t="s">
        <v>327</v>
      </c>
      <c r="L22" s="43"/>
      <c r="M22" s="43"/>
      <c r="N22" s="43"/>
      <c r="O22" s="43"/>
      <c r="P22" s="43"/>
      <c r="Q22" s="43"/>
      <c r="R22" s="43"/>
      <c r="S22" s="43"/>
      <c r="T22" s="43"/>
      <c r="U22" s="43"/>
    </row>
    <row r="23" spans="1:21" ht="87.5" outlineLevel="1">
      <c r="A23" s="210"/>
      <c r="B23" s="211"/>
      <c r="C23" s="27">
        <f t="shared" si="0"/>
        <v>3</v>
      </c>
      <c r="D23" s="55" t="s">
        <v>328</v>
      </c>
      <c r="E23" s="30" t="s">
        <v>329</v>
      </c>
      <c r="F23" s="56" t="b">
        <v>1</v>
      </c>
      <c r="G23" s="56" t="b">
        <v>1</v>
      </c>
      <c r="H23" s="56" t="b">
        <v>0</v>
      </c>
      <c r="I23" s="56" t="b">
        <v>1</v>
      </c>
      <c r="J23" s="57"/>
      <c r="K23" s="102" t="s">
        <v>330</v>
      </c>
      <c r="L23" s="43"/>
      <c r="M23" s="43"/>
      <c r="N23" s="43"/>
      <c r="O23" s="43"/>
      <c r="P23" s="43"/>
      <c r="Q23" s="43"/>
      <c r="R23" s="43"/>
      <c r="S23" s="43"/>
      <c r="T23" s="43"/>
      <c r="U23" s="43"/>
    </row>
    <row r="24" spans="1:21" ht="87.5" outlineLevel="1">
      <c r="A24" s="210"/>
      <c r="B24" s="223" t="s">
        <v>188</v>
      </c>
      <c r="C24" s="21">
        <f t="shared" si="0"/>
        <v>3</v>
      </c>
      <c r="D24" s="43" t="s">
        <v>331</v>
      </c>
      <c r="E24" s="59" t="s">
        <v>332</v>
      </c>
      <c r="F24" s="60" t="b">
        <v>0</v>
      </c>
      <c r="G24" s="60" t="b">
        <v>1</v>
      </c>
      <c r="H24" s="60" t="b">
        <v>1</v>
      </c>
      <c r="I24" s="60" t="b">
        <v>1</v>
      </c>
      <c r="J24" s="61"/>
      <c r="K24" s="64" t="s">
        <v>333</v>
      </c>
      <c r="L24" s="43"/>
      <c r="M24" s="43"/>
      <c r="N24" s="43"/>
      <c r="O24" s="43"/>
      <c r="P24" s="43"/>
      <c r="Q24" s="43"/>
      <c r="R24" s="43"/>
      <c r="S24" s="43"/>
      <c r="T24" s="43"/>
      <c r="U24" s="43"/>
    </row>
    <row r="25" spans="1:21" ht="62.5" outlineLevel="1">
      <c r="A25" s="210"/>
      <c r="B25" s="211"/>
      <c r="C25" s="27">
        <f t="shared" si="0"/>
        <v>2</v>
      </c>
      <c r="D25" s="55" t="s">
        <v>334</v>
      </c>
      <c r="E25" s="30" t="s">
        <v>335</v>
      </c>
      <c r="F25" s="56" t="b">
        <v>1</v>
      </c>
      <c r="G25" s="56" t="b">
        <v>0</v>
      </c>
      <c r="H25" s="56" t="b">
        <v>0</v>
      </c>
      <c r="I25" s="56" t="b">
        <v>1</v>
      </c>
      <c r="J25" s="57"/>
      <c r="K25" s="67" t="s">
        <v>336</v>
      </c>
      <c r="L25" s="43"/>
      <c r="M25" s="43"/>
      <c r="N25" s="43"/>
      <c r="O25" s="43"/>
      <c r="P25" s="43"/>
      <c r="Q25" s="43"/>
      <c r="R25" s="43"/>
      <c r="S25" s="43"/>
      <c r="T25" s="43"/>
      <c r="U25" s="43"/>
    </row>
    <row r="26" spans="1:21" ht="25" outlineLevel="1">
      <c r="A26" s="210"/>
      <c r="B26" s="241" t="s">
        <v>337</v>
      </c>
      <c r="C26" s="21">
        <f t="shared" si="0"/>
        <v>1</v>
      </c>
      <c r="D26" s="43" t="s">
        <v>338</v>
      </c>
      <c r="E26" s="59" t="s">
        <v>339</v>
      </c>
      <c r="F26" s="60" t="b">
        <v>1</v>
      </c>
      <c r="G26" s="63" t="b">
        <v>0</v>
      </c>
      <c r="H26" s="60" t="b">
        <v>0</v>
      </c>
      <c r="I26" s="60" t="b">
        <v>0</v>
      </c>
      <c r="J26" s="61"/>
      <c r="K26" s="64" t="s">
        <v>340</v>
      </c>
      <c r="L26" s="43"/>
      <c r="M26" s="43"/>
      <c r="N26" s="43"/>
      <c r="O26" s="43"/>
      <c r="P26" s="43"/>
      <c r="Q26" s="43"/>
      <c r="R26" s="43"/>
      <c r="S26" s="43"/>
      <c r="T26" s="43"/>
      <c r="U26" s="43"/>
    </row>
    <row r="27" spans="1:21" ht="37.5" outlineLevel="1">
      <c r="A27" s="210"/>
      <c r="B27" s="210"/>
      <c r="C27" s="21">
        <f t="shared" si="0"/>
        <v>1</v>
      </c>
      <c r="D27" s="43" t="s">
        <v>341</v>
      </c>
      <c r="E27" s="59" t="s">
        <v>342</v>
      </c>
      <c r="F27" s="60" t="b">
        <v>1</v>
      </c>
      <c r="G27" s="63" t="b">
        <v>0</v>
      </c>
      <c r="H27" s="63" t="b">
        <v>0</v>
      </c>
      <c r="I27" s="63" t="b">
        <v>0</v>
      </c>
      <c r="J27" s="61"/>
      <c r="K27" s="64" t="s">
        <v>343</v>
      </c>
      <c r="L27" s="43"/>
      <c r="M27" s="43"/>
      <c r="N27" s="43"/>
      <c r="O27" s="43"/>
      <c r="P27" s="43"/>
      <c r="Q27" s="43"/>
      <c r="R27" s="43"/>
      <c r="S27" s="43"/>
      <c r="T27" s="43"/>
      <c r="U27" s="43"/>
    </row>
    <row r="28" spans="1:21" ht="37.5" outlineLevel="1">
      <c r="A28" s="210"/>
      <c r="B28" s="210"/>
      <c r="C28" s="21">
        <f t="shared" si="0"/>
        <v>1</v>
      </c>
      <c r="D28" s="43" t="s">
        <v>344</v>
      </c>
      <c r="E28" s="59" t="s">
        <v>345</v>
      </c>
      <c r="F28" s="60" t="b">
        <v>1</v>
      </c>
      <c r="G28" s="63" t="b">
        <v>0</v>
      </c>
      <c r="H28" s="63" t="b">
        <v>0</v>
      </c>
      <c r="I28" s="63" t="b">
        <v>0</v>
      </c>
      <c r="J28" s="61"/>
      <c r="K28" s="64" t="s">
        <v>346</v>
      </c>
      <c r="L28" s="43"/>
      <c r="M28" s="43"/>
      <c r="N28" s="43"/>
      <c r="O28" s="43"/>
      <c r="P28" s="43"/>
      <c r="Q28" s="43"/>
      <c r="R28" s="43"/>
      <c r="S28" s="43"/>
      <c r="T28" s="43"/>
      <c r="U28" s="43"/>
    </row>
    <row r="29" spans="1:21" ht="37.5" outlineLevel="1">
      <c r="A29" s="210"/>
      <c r="B29" s="210"/>
      <c r="C29" s="21">
        <f t="shared" si="0"/>
        <v>1</v>
      </c>
      <c r="D29" s="43" t="s">
        <v>347</v>
      </c>
      <c r="E29" s="59" t="s">
        <v>348</v>
      </c>
      <c r="F29" s="60" t="b">
        <v>1</v>
      </c>
      <c r="G29" s="63" t="b">
        <v>0</v>
      </c>
      <c r="H29" s="60" t="b">
        <v>0</v>
      </c>
      <c r="I29" s="63" t="b">
        <v>0</v>
      </c>
      <c r="J29" s="61"/>
      <c r="K29" s="64" t="s">
        <v>349</v>
      </c>
      <c r="L29" s="43"/>
      <c r="M29" s="43"/>
      <c r="N29" s="43"/>
      <c r="O29" s="43"/>
      <c r="P29" s="43"/>
      <c r="Q29" s="43"/>
      <c r="R29" s="43"/>
      <c r="S29" s="43"/>
      <c r="T29" s="43"/>
      <c r="U29" s="43"/>
    </row>
    <row r="30" spans="1:21" ht="75" outlineLevel="1">
      <c r="A30" s="210"/>
      <c r="B30" s="210"/>
      <c r="C30" s="21">
        <f t="shared" si="0"/>
        <v>4</v>
      </c>
      <c r="D30" s="43" t="s">
        <v>350</v>
      </c>
      <c r="E30" s="59" t="s">
        <v>351</v>
      </c>
      <c r="F30" s="60" t="b">
        <v>1</v>
      </c>
      <c r="G30" s="60" t="b">
        <v>1</v>
      </c>
      <c r="H30" s="60" t="b">
        <v>1</v>
      </c>
      <c r="I30" s="60" t="b">
        <v>1</v>
      </c>
      <c r="J30" s="61"/>
      <c r="K30" s="103" t="s">
        <v>352</v>
      </c>
      <c r="L30" s="43"/>
      <c r="M30" s="43"/>
      <c r="N30" s="43"/>
      <c r="O30" s="43"/>
      <c r="P30" s="43"/>
      <c r="Q30" s="43"/>
      <c r="R30" s="43"/>
      <c r="S30" s="43"/>
      <c r="T30" s="43"/>
      <c r="U30" s="43"/>
    </row>
    <row r="31" spans="1:21" ht="50" outlineLevel="1">
      <c r="A31" s="210"/>
      <c r="B31" s="210"/>
      <c r="C31" s="21">
        <f t="shared" si="0"/>
        <v>2</v>
      </c>
      <c r="D31" s="43" t="s">
        <v>353</v>
      </c>
      <c r="E31" s="59" t="s">
        <v>354</v>
      </c>
      <c r="F31" s="60" t="b">
        <v>1</v>
      </c>
      <c r="G31" s="63" t="b">
        <v>0</v>
      </c>
      <c r="H31" s="60" t="b">
        <v>1</v>
      </c>
      <c r="I31" s="63" t="b">
        <v>0</v>
      </c>
      <c r="J31" s="61"/>
      <c r="K31" s="64" t="s">
        <v>355</v>
      </c>
      <c r="L31" s="43"/>
      <c r="M31" s="43"/>
      <c r="N31" s="43"/>
      <c r="O31" s="43"/>
      <c r="P31" s="43"/>
      <c r="Q31" s="43"/>
      <c r="R31" s="43"/>
      <c r="S31" s="43"/>
      <c r="T31" s="43"/>
      <c r="U31" s="43"/>
    </row>
    <row r="32" spans="1:21" ht="50" outlineLevel="1">
      <c r="A32" s="210"/>
      <c r="B32" s="210"/>
      <c r="C32" s="21">
        <f t="shared" si="0"/>
        <v>3</v>
      </c>
      <c r="D32" s="43" t="s">
        <v>356</v>
      </c>
      <c r="E32" s="59" t="s">
        <v>357</v>
      </c>
      <c r="F32" s="60" t="b">
        <v>1</v>
      </c>
      <c r="G32" s="60" t="b">
        <v>1</v>
      </c>
      <c r="H32" s="60" t="b">
        <v>1</v>
      </c>
      <c r="I32" s="60" t="b">
        <v>0</v>
      </c>
      <c r="J32" s="61"/>
      <c r="K32" s="104" t="s">
        <v>358</v>
      </c>
      <c r="L32" s="43"/>
      <c r="M32" s="43"/>
      <c r="N32" s="43"/>
      <c r="O32" s="43"/>
      <c r="P32" s="43"/>
      <c r="Q32" s="43"/>
      <c r="R32" s="43"/>
      <c r="S32" s="43"/>
      <c r="T32" s="43"/>
      <c r="U32" s="43"/>
    </row>
    <row r="33" spans="1:21" ht="62.5" outlineLevel="1">
      <c r="A33" s="210"/>
      <c r="B33" s="210"/>
      <c r="C33" s="21">
        <f t="shared" si="0"/>
        <v>3</v>
      </c>
      <c r="D33" s="43" t="s">
        <v>359</v>
      </c>
      <c r="E33" s="59" t="s">
        <v>360</v>
      </c>
      <c r="F33" s="60" t="b">
        <v>1</v>
      </c>
      <c r="G33" s="60" t="b">
        <v>0</v>
      </c>
      <c r="H33" s="60" t="b">
        <v>1</v>
      </c>
      <c r="I33" s="60" t="b">
        <v>1</v>
      </c>
      <c r="J33" s="61"/>
      <c r="K33" s="64" t="s">
        <v>361</v>
      </c>
      <c r="L33" s="43"/>
      <c r="M33" s="43"/>
      <c r="N33" s="43"/>
      <c r="O33" s="43"/>
      <c r="P33" s="43"/>
      <c r="Q33" s="43"/>
      <c r="R33" s="43"/>
      <c r="S33" s="43"/>
      <c r="T33" s="43"/>
      <c r="U33" s="43"/>
    </row>
    <row r="34" spans="1:21" ht="62.5" outlineLevel="1">
      <c r="A34" s="210"/>
      <c r="B34" s="211"/>
      <c r="C34" s="27">
        <f t="shared" si="0"/>
        <v>3</v>
      </c>
      <c r="D34" s="55" t="s">
        <v>362</v>
      </c>
      <c r="E34" s="30" t="s">
        <v>363</v>
      </c>
      <c r="F34" s="56" t="b">
        <v>1</v>
      </c>
      <c r="G34" s="56" t="b">
        <v>0</v>
      </c>
      <c r="H34" s="56" t="b">
        <v>1</v>
      </c>
      <c r="I34" s="56" t="b">
        <v>1</v>
      </c>
      <c r="J34" s="57"/>
      <c r="K34" s="67" t="s">
        <v>361</v>
      </c>
      <c r="L34" s="43"/>
      <c r="M34" s="43"/>
      <c r="N34" s="43"/>
      <c r="O34" s="43"/>
      <c r="P34" s="43"/>
      <c r="Q34" s="43"/>
      <c r="R34" s="43"/>
      <c r="S34" s="43"/>
      <c r="T34" s="43"/>
      <c r="U34" s="43"/>
    </row>
    <row r="35" spans="1:21" ht="62.5" outlineLevel="1">
      <c r="A35" s="211"/>
      <c r="B35" s="72" t="s">
        <v>364</v>
      </c>
      <c r="C35" s="27">
        <f t="shared" si="0"/>
        <v>2</v>
      </c>
      <c r="D35" s="55" t="s">
        <v>365</v>
      </c>
      <c r="E35" s="30" t="s">
        <v>366</v>
      </c>
      <c r="F35" s="56" t="b">
        <v>1</v>
      </c>
      <c r="G35" s="56" t="b">
        <v>1</v>
      </c>
      <c r="H35" s="56" t="b">
        <v>0</v>
      </c>
      <c r="I35" s="66" t="b">
        <v>0</v>
      </c>
      <c r="J35" s="57"/>
      <c r="K35" s="67" t="s">
        <v>367</v>
      </c>
      <c r="L35" s="43"/>
      <c r="M35" s="43"/>
      <c r="N35" s="43"/>
      <c r="O35" s="43"/>
      <c r="P35" s="43"/>
      <c r="Q35" s="43"/>
      <c r="R35" s="43"/>
      <c r="S35" s="43"/>
      <c r="T35" s="43"/>
      <c r="U35" s="43"/>
    </row>
    <row r="36" spans="1:21" ht="37.5" outlineLevel="1">
      <c r="A36" s="247" t="s">
        <v>368</v>
      </c>
      <c r="B36" s="246" t="s">
        <v>369</v>
      </c>
      <c r="C36" s="21">
        <f t="shared" si="0"/>
        <v>2</v>
      </c>
      <c r="D36" s="43" t="s">
        <v>370</v>
      </c>
      <c r="E36" s="59" t="s">
        <v>371</v>
      </c>
      <c r="F36" s="60" t="b">
        <v>1</v>
      </c>
      <c r="G36" s="60" t="b">
        <v>0</v>
      </c>
      <c r="H36" s="60" t="b">
        <v>0</v>
      </c>
      <c r="I36" s="60" t="b">
        <v>1</v>
      </c>
      <c r="J36" s="61"/>
      <c r="K36" s="64" t="s">
        <v>372</v>
      </c>
      <c r="L36" s="43"/>
      <c r="M36" s="43"/>
      <c r="N36" s="43"/>
      <c r="O36" s="43"/>
      <c r="P36" s="43"/>
      <c r="Q36" s="43"/>
      <c r="R36" s="43"/>
      <c r="S36" s="43"/>
      <c r="T36" s="43"/>
      <c r="U36" s="43"/>
    </row>
    <row r="37" spans="1:21" ht="25" outlineLevel="1">
      <c r="A37" s="210"/>
      <c r="B37" s="210"/>
      <c r="C37" s="21">
        <f t="shared" si="0"/>
        <v>1</v>
      </c>
      <c r="D37" s="43" t="s">
        <v>373</v>
      </c>
      <c r="E37" s="59" t="s">
        <v>374</v>
      </c>
      <c r="F37" s="60" t="b">
        <v>1</v>
      </c>
      <c r="G37" s="63" t="b">
        <v>0</v>
      </c>
      <c r="H37" s="60" t="b">
        <v>0</v>
      </c>
      <c r="I37" s="63" t="b">
        <v>0</v>
      </c>
      <c r="J37" s="61"/>
      <c r="K37" s="64" t="s">
        <v>375</v>
      </c>
      <c r="L37" s="43"/>
      <c r="M37" s="43"/>
      <c r="N37" s="43"/>
      <c r="O37" s="43"/>
      <c r="P37" s="43"/>
      <c r="Q37" s="43"/>
      <c r="R37" s="43"/>
      <c r="S37" s="43"/>
      <c r="T37" s="43"/>
      <c r="U37" s="43"/>
    </row>
    <row r="38" spans="1:21" ht="75" outlineLevel="1">
      <c r="A38" s="210"/>
      <c r="B38" s="210"/>
      <c r="C38" s="21">
        <f t="shared" si="0"/>
        <v>3</v>
      </c>
      <c r="D38" s="43" t="s">
        <v>376</v>
      </c>
      <c r="E38" s="59" t="s">
        <v>377</v>
      </c>
      <c r="F38" s="60" t="b">
        <v>1</v>
      </c>
      <c r="G38" s="60" t="b">
        <v>1</v>
      </c>
      <c r="H38" s="60" t="b">
        <v>1</v>
      </c>
      <c r="I38" s="63" t="b">
        <v>0</v>
      </c>
      <c r="J38" s="61"/>
      <c r="K38" s="64" t="s">
        <v>378</v>
      </c>
      <c r="L38" s="43"/>
      <c r="M38" s="43"/>
      <c r="N38" s="43"/>
      <c r="O38" s="43"/>
      <c r="P38" s="43"/>
      <c r="Q38" s="43"/>
      <c r="R38" s="43"/>
      <c r="S38" s="43"/>
      <c r="T38" s="43"/>
      <c r="U38" s="43"/>
    </row>
    <row r="39" spans="1:21" ht="62.5" outlineLevel="1">
      <c r="A39" s="210"/>
      <c r="B39" s="210"/>
      <c r="C39" s="21">
        <f t="shared" si="0"/>
        <v>2</v>
      </c>
      <c r="D39" s="43" t="s">
        <v>379</v>
      </c>
      <c r="E39" s="59" t="s">
        <v>380</v>
      </c>
      <c r="F39" s="60" t="b">
        <v>1</v>
      </c>
      <c r="G39" s="60" t="b">
        <v>0</v>
      </c>
      <c r="H39" s="60" t="b">
        <v>1</v>
      </c>
      <c r="I39" s="63" t="b">
        <v>0</v>
      </c>
      <c r="J39" s="61"/>
      <c r="K39" s="64" t="s">
        <v>381</v>
      </c>
      <c r="L39" s="43"/>
      <c r="M39" s="43"/>
      <c r="N39" s="43"/>
      <c r="O39" s="43"/>
      <c r="P39" s="43"/>
      <c r="Q39" s="43"/>
      <c r="R39" s="43"/>
      <c r="S39" s="43"/>
      <c r="T39" s="43"/>
      <c r="U39" s="43"/>
    </row>
    <row r="40" spans="1:21" ht="62.5" outlineLevel="1">
      <c r="A40" s="210"/>
      <c r="B40" s="210"/>
      <c r="C40" s="21">
        <f t="shared" si="0"/>
        <v>4</v>
      </c>
      <c r="D40" s="43" t="s">
        <v>382</v>
      </c>
      <c r="E40" s="59" t="s">
        <v>383</v>
      </c>
      <c r="F40" s="60" t="b">
        <v>1</v>
      </c>
      <c r="G40" s="60" t="b">
        <v>1</v>
      </c>
      <c r="H40" s="60" t="b">
        <v>1</v>
      </c>
      <c r="I40" s="60" t="b">
        <v>1</v>
      </c>
      <c r="J40" s="61"/>
      <c r="K40" s="64" t="s">
        <v>384</v>
      </c>
      <c r="L40" s="43"/>
      <c r="M40" s="43"/>
      <c r="N40" s="43"/>
      <c r="O40" s="43"/>
      <c r="P40" s="43"/>
      <c r="Q40" s="43"/>
      <c r="R40" s="43"/>
      <c r="S40" s="43"/>
      <c r="T40" s="43"/>
      <c r="U40" s="43"/>
    </row>
    <row r="41" spans="1:21" ht="62.5" outlineLevel="1">
      <c r="A41" s="210"/>
      <c r="B41" s="210"/>
      <c r="C41" s="21">
        <f t="shared" si="0"/>
        <v>2</v>
      </c>
      <c r="D41" s="43" t="s">
        <v>385</v>
      </c>
      <c r="E41" s="59" t="s">
        <v>386</v>
      </c>
      <c r="F41" s="60" t="b">
        <v>1</v>
      </c>
      <c r="G41" s="60" t="b">
        <v>0</v>
      </c>
      <c r="H41" s="60" t="b">
        <v>1</v>
      </c>
      <c r="I41" s="60" t="b">
        <v>0</v>
      </c>
      <c r="J41" s="61"/>
      <c r="K41" s="64" t="s">
        <v>387</v>
      </c>
      <c r="L41" s="43"/>
      <c r="M41" s="43"/>
      <c r="N41" s="43"/>
      <c r="O41" s="43"/>
      <c r="P41" s="43"/>
      <c r="Q41" s="43"/>
      <c r="R41" s="43"/>
      <c r="S41" s="43"/>
      <c r="T41" s="43"/>
      <c r="U41" s="43"/>
    </row>
    <row r="42" spans="1:21" ht="75" outlineLevel="1">
      <c r="A42" s="210"/>
      <c r="B42" s="210"/>
      <c r="C42" s="21">
        <f t="shared" si="0"/>
        <v>4</v>
      </c>
      <c r="D42" s="43" t="s">
        <v>388</v>
      </c>
      <c r="E42" s="59" t="s">
        <v>389</v>
      </c>
      <c r="F42" s="60" t="b">
        <v>1</v>
      </c>
      <c r="G42" s="60" t="b">
        <v>1</v>
      </c>
      <c r="H42" s="60" t="b">
        <v>1</v>
      </c>
      <c r="I42" s="60" t="b">
        <v>1</v>
      </c>
      <c r="J42" s="61"/>
      <c r="K42" s="64" t="s">
        <v>390</v>
      </c>
      <c r="L42" s="43"/>
      <c r="M42" s="43"/>
      <c r="N42" s="43"/>
      <c r="O42" s="43"/>
      <c r="P42" s="43"/>
      <c r="Q42" s="43"/>
      <c r="R42" s="43"/>
      <c r="S42" s="43"/>
      <c r="T42" s="43"/>
      <c r="U42" s="43"/>
    </row>
    <row r="43" spans="1:21" ht="50" outlineLevel="1">
      <c r="A43" s="210"/>
      <c r="B43" s="210"/>
      <c r="C43" s="21">
        <f t="shared" si="0"/>
        <v>2</v>
      </c>
      <c r="D43" s="43" t="s">
        <v>391</v>
      </c>
      <c r="E43" s="59" t="s">
        <v>392</v>
      </c>
      <c r="F43" s="60" t="b">
        <v>1</v>
      </c>
      <c r="G43" s="60" t="b">
        <v>0</v>
      </c>
      <c r="H43" s="60" t="b">
        <v>1</v>
      </c>
      <c r="I43" s="63" t="b">
        <v>0</v>
      </c>
      <c r="J43" s="61"/>
      <c r="K43" s="64" t="s">
        <v>393</v>
      </c>
      <c r="L43" s="43"/>
      <c r="M43" s="43"/>
      <c r="N43" s="43"/>
      <c r="O43" s="43"/>
      <c r="P43" s="43"/>
      <c r="Q43" s="43"/>
      <c r="R43" s="43"/>
      <c r="S43" s="43"/>
      <c r="T43" s="43"/>
      <c r="U43" s="43"/>
    </row>
    <row r="44" spans="1:21" ht="75" outlineLevel="1">
      <c r="A44" s="211"/>
      <c r="B44" s="211"/>
      <c r="C44" s="21">
        <f t="shared" si="0"/>
        <v>4</v>
      </c>
      <c r="D44" s="55" t="s">
        <v>394</v>
      </c>
      <c r="E44" s="30" t="s">
        <v>395</v>
      </c>
      <c r="F44" s="56" t="b">
        <v>1</v>
      </c>
      <c r="G44" s="56" t="b">
        <v>1</v>
      </c>
      <c r="H44" s="56" t="b">
        <v>1</v>
      </c>
      <c r="I44" s="56" t="b">
        <v>1</v>
      </c>
      <c r="J44" s="73"/>
      <c r="K44" s="102" t="s">
        <v>396</v>
      </c>
      <c r="L44" s="43"/>
      <c r="M44" s="43"/>
      <c r="N44" s="43"/>
      <c r="O44" s="43"/>
      <c r="P44" s="43"/>
      <c r="Q44" s="43"/>
      <c r="R44" s="43"/>
      <c r="S44" s="43"/>
      <c r="T44" s="43"/>
      <c r="U44" s="43"/>
    </row>
    <row r="45" spans="1:21" ht="12.5">
      <c r="A45" s="36"/>
      <c r="B45" s="36"/>
      <c r="C45" s="36"/>
      <c r="D45" s="36"/>
      <c r="E45" s="36"/>
      <c r="F45" s="36"/>
      <c r="G45" s="36"/>
      <c r="H45" s="36"/>
      <c r="I45" s="36"/>
      <c r="J45" s="36"/>
      <c r="K45" s="36"/>
      <c r="L45" s="43"/>
      <c r="M45" s="43"/>
      <c r="N45" s="43"/>
      <c r="O45" s="43"/>
      <c r="P45" s="43"/>
      <c r="Q45" s="43"/>
      <c r="R45" s="43"/>
      <c r="S45" s="43"/>
      <c r="T45" s="43"/>
      <c r="U45" s="43"/>
    </row>
    <row r="46" spans="1:21" ht="84" outlineLevel="1">
      <c r="A46" s="217" t="s">
        <v>6</v>
      </c>
      <c r="B46" s="218"/>
      <c r="C46" s="37" t="s">
        <v>102</v>
      </c>
      <c r="D46" s="38">
        <f>COUNTIF(L49:L88,TRUE)</f>
        <v>8</v>
      </c>
      <c r="E46" s="105" t="s">
        <v>103</v>
      </c>
      <c r="F46" s="219" t="s">
        <v>104</v>
      </c>
      <c r="G46" s="218"/>
      <c r="H46" s="40">
        <f ca="1">IFERROR(__xludf.DUMMYFUNCTION("COUNTUNIQUE(D5:D44)"),40)</f>
        <v>40</v>
      </c>
      <c r="I46" s="41" t="s">
        <v>105</v>
      </c>
      <c r="J46" s="42"/>
      <c r="K46" s="42">
        <f ca="1">H46/3</f>
        <v>13.333333333333334</v>
      </c>
      <c r="L46" s="43"/>
      <c r="M46" s="43"/>
      <c r="N46" s="43"/>
      <c r="O46" s="43"/>
      <c r="P46" s="43"/>
      <c r="Q46" s="43"/>
      <c r="R46" s="43"/>
      <c r="S46" s="43"/>
      <c r="T46" s="43"/>
      <c r="U46" s="43"/>
    </row>
    <row r="47" spans="1:21" ht="17.5" outlineLevel="1">
      <c r="A47" s="227" t="s">
        <v>106</v>
      </c>
      <c r="B47" s="203"/>
      <c r="C47" s="75">
        <v>2</v>
      </c>
      <c r="D47" s="7"/>
      <c r="E47" s="46" t="s">
        <v>107</v>
      </c>
      <c r="F47" s="7"/>
      <c r="G47" s="7"/>
      <c r="H47" s="7"/>
      <c r="I47" s="7"/>
      <c r="J47" s="7"/>
      <c r="K47" s="47"/>
      <c r="L47" s="43"/>
      <c r="M47" s="43"/>
      <c r="N47" s="43"/>
      <c r="O47" s="43"/>
      <c r="P47" s="43"/>
      <c r="Q47" s="43"/>
      <c r="R47" s="43"/>
      <c r="S47" s="43"/>
      <c r="T47" s="43"/>
      <c r="U47" s="43"/>
    </row>
    <row r="48" spans="1:21" ht="15.5" outlineLevel="1">
      <c r="A48" s="207" t="s">
        <v>9</v>
      </c>
      <c r="B48" s="208"/>
      <c r="C48" s="9" t="s">
        <v>10</v>
      </c>
      <c r="D48" s="10" t="s">
        <v>11</v>
      </c>
      <c r="E48" s="11" t="s">
        <v>12</v>
      </c>
      <c r="F48" s="9" t="s">
        <v>13</v>
      </c>
      <c r="G48" s="9" t="s">
        <v>14</v>
      </c>
      <c r="H48" s="9" t="s">
        <v>15</v>
      </c>
      <c r="I48" s="9" t="s">
        <v>16</v>
      </c>
      <c r="J48" s="9"/>
      <c r="K48" s="106" t="s">
        <v>17</v>
      </c>
      <c r="L48" s="10" t="s">
        <v>108</v>
      </c>
      <c r="M48" s="43"/>
      <c r="N48" s="43"/>
      <c r="O48" s="43"/>
      <c r="P48" s="43"/>
      <c r="Q48" s="43"/>
      <c r="R48" s="43"/>
      <c r="S48" s="43"/>
      <c r="T48" s="43"/>
      <c r="U48" s="43"/>
    </row>
    <row r="49" spans="1:21" ht="50" outlineLevel="1">
      <c r="A49" s="240" t="s">
        <v>18</v>
      </c>
      <c r="B49" s="244" t="s">
        <v>269</v>
      </c>
      <c r="C49" s="21">
        <f t="shared" ref="C49:C88" si="1">COUNTIF(F49:I49,TRUE)</f>
        <v>3</v>
      </c>
      <c r="D49" s="7" t="str">
        <f t="shared" ref="D49:I49" si="2">IF($C5&gt;$C$47,D5,"")</f>
        <v>3.NBT.A.1</v>
      </c>
      <c r="E49" s="47" t="str">
        <f t="shared" si="2"/>
        <v>Use place value understanding to round whole numbers to the nearest 10 or 100</v>
      </c>
      <c r="F49" s="76" t="b">
        <f t="shared" si="2"/>
        <v>1</v>
      </c>
      <c r="G49" s="76" t="b">
        <f t="shared" si="2"/>
        <v>0</v>
      </c>
      <c r="H49" s="76" t="b">
        <f t="shared" si="2"/>
        <v>1</v>
      </c>
      <c r="I49" s="76" t="b">
        <f t="shared" si="2"/>
        <v>1</v>
      </c>
      <c r="J49" s="7"/>
      <c r="K49" s="47" t="str">
        <f t="shared" ref="K49:K88" si="3">IF($C5&gt;$C$47,K5,"")</f>
        <v>R- 4.NBT.A.3 (round multi digit whole numbers), A-tested on MAP, L- rounding comes into play when spending money or budgeting</v>
      </c>
      <c r="L49" s="48" t="b">
        <v>0</v>
      </c>
      <c r="M49" s="7" t="str">
        <f t="shared" ref="M49:U49" si="4">IF($L49=TRUE,C49,"")</f>
        <v/>
      </c>
      <c r="N49" s="7" t="str">
        <f t="shared" si="4"/>
        <v/>
      </c>
      <c r="O49" s="7" t="str">
        <f t="shared" si="4"/>
        <v/>
      </c>
      <c r="P49" s="7" t="str">
        <f t="shared" si="4"/>
        <v/>
      </c>
      <c r="Q49" s="7" t="str">
        <f t="shared" si="4"/>
        <v/>
      </c>
      <c r="R49" s="7" t="str">
        <f t="shared" si="4"/>
        <v/>
      </c>
      <c r="S49" s="7" t="str">
        <f t="shared" si="4"/>
        <v/>
      </c>
      <c r="T49" s="7" t="str">
        <f t="shared" si="4"/>
        <v/>
      </c>
      <c r="U49" s="8" t="str">
        <f t="shared" si="4"/>
        <v/>
      </c>
    </row>
    <row r="50" spans="1:21" ht="87.5" outlineLevel="1">
      <c r="A50" s="210"/>
      <c r="B50" s="210"/>
      <c r="C50" s="21">
        <f t="shared" si="1"/>
        <v>4</v>
      </c>
      <c r="D50" s="7" t="str">
        <f t="shared" ref="D50:I50" si="5">IF($C6&gt;$C$47,D6,"")</f>
        <v>3.NBT.A.2</v>
      </c>
      <c r="E50" s="47" t="str">
        <f t="shared" si="5"/>
        <v>Fluently add and subtract within 1000 using strategies and algorithms based on place value, properties of operations, and/or the relationship between addition and subtraction.</v>
      </c>
      <c r="F50" s="76" t="b">
        <f t="shared" si="5"/>
        <v>1</v>
      </c>
      <c r="G50" s="76" t="b">
        <f t="shared" si="5"/>
        <v>1</v>
      </c>
      <c r="H50" s="76" t="b">
        <f t="shared" si="5"/>
        <v>1</v>
      </c>
      <c r="I50" s="76" t="b">
        <f t="shared" si="5"/>
        <v>1</v>
      </c>
      <c r="J50" s="7"/>
      <c r="K50" s="47" t="str">
        <f t="shared" si="3"/>
        <v>R-Fluently add and subtract multi-digit whole
 numbers using the standard algorithm (NBT.B.4).E-They
will use the standard Algorithm throughout
the whole year. A-They will see this on ACT Aspire.L-this
is used in Science too.</v>
      </c>
      <c r="L50" s="77" t="b">
        <v>1</v>
      </c>
      <c r="M50" s="7">
        <f t="shared" ref="M50:U50" si="6">IF($L50=TRUE,C50,"")</f>
        <v>4</v>
      </c>
      <c r="N50" s="7" t="str">
        <f t="shared" si="6"/>
        <v>3.NBT.A.2</v>
      </c>
      <c r="O50" s="7" t="str">
        <f t="shared" si="6"/>
        <v>Fluently add and subtract within 1000 using strategies and algorithms based on place value, properties of operations, and/or the relationship between addition and subtraction.</v>
      </c>
      <c r="P50" s="7" t="b">
        <f t="shared" si="6"/>
        <v>1</v>
      </c>
      <c r="Q50" s="7" t="b">
        <f t="shared" si="6"/>
        <v>1</v>
      </c>
      <c r="R50" s="7" t="b">
        <f t="shared" si="6"/>
        <v>1</v>
      </c>
      <c r="S50" s="7" t="b">
        <f t="shared" si="6"/>
        <v>1</v>
      </c>
      <c r="T50" s="7">
        <f t="shared" si="6"/>
        <v>0</v>
      </c>
      <c r="U50" s="8" t="str">
        <f t="shared" si="6"/>
        <v>R-Fluently add and subtract multi-digit whole
 numbers using the standard algorithm (NBT.B.4).E-They
will use the standard Algorithm throughout
the whole year. A-They will see this on ACT Aspire.L-this
is used in Science too.</v>
      </c>
    </row>
    <row r="51" spans="1:21" ht="13" outlineLevel="1">
      <c r="A51" s="211"/>
      <c r="B51" s="210"/>
      <c r="C51" s="27">
        <f t="shared" si="1"/>
        <v>0</v>
      </c>
      <c r="D51" s="7" t="str">
        <f t="shared" ref="D51:I51" si="7">IF($C7&gt;$C$47,D7,"")</f>
        <v/>
      </c>
      <c r="E51" s="47" t="str">
        <f t="shared" si="7"/>
        <v/>
      </c>
      <c r="F51" s="76" t="str">
        <f t="shared" si="7"/>
        <v/>
      </c>
      <c r="G51" s="76" t="str">
        <f t="shared" si="7"/>
        <v/>
      </c>
      <c r="H51" s="76" t="str">
        <f t="shared" si="7"/>
        <v/>
      </c>
      <c r="I51" s="76" t="str">
        <f t="shared" si="7"/>
        <v/>
      </c>
      <c r="J51" s="7"/>
      <c r="K51" s="47" t="str">
        <f t="shared" si="3"/>
        <v/>
      </c>
      <c r="L51" s="77" t="b">
        <v>0</v>
      </c>
      <c r="M51" s="7" t="str">
        <f t="shared" ref="M51:U51" si="8">IF($L51=TRUE,C51,"")</f>
        <v/>
      </c>
      <c r="N51" s="7" t="str">
        <f t="shared" si="8"/>
        <v/>
      </c>
      <c r="O51" s="7" t="str">
        <f t="shared" si="8"/>
        <v/>
      </c>
      <c r="P51" s="7" t="str">
        <f t="shared" si="8"/>
        <v/>
      </c>
      <c r="Q51" s="7" t="str">
        <f t="shared" si="8"/>
        <v/>
      </c>
      <c r="R51" s="7" t="str">
        <f t="shared" si="8"/>
        <v/>
      </c>
      <c r="S51" s="7" t="str">
        <f t="shared" si="8"/>
        <v/>
      </c>
      <c r="T51" s="7" t="str">
        <f t="shared" si="8"/>
        <v/>
      </c>
      <c r="U51" s="8" t="str">
        <f t="shared" si="8"/>
        <v/>
      </c>
    </row>
    <row r="52" spans="1:21" ht="13" outlineLevel="1">
      <c r="A52" s="13"/>
      <c r="B52" s="210"/>
      <c r="C52" s="27">
        <f t="shared" si="1"/>
        <v>0</v>
      </c>
      <c r="D52" s="7" t="str">
        <f t="shared" ref="D52:I52" si="9">IF($C8&gt;$C$47,D8,"")</f>
        <v/>
      </c>
      <c r="E52" s="47" t="str">
        <f t="shared" si="9"/>
        <v/>
      </c>
      <c r="F52" s="76" t="str">
        <f t="shared" si="9"/>
        <v/>
      </c>
      <c r="G52" s="76" t="str">
        <f t="shared" si="9"/>
        <v/>
      </c>
      <c r="H52" s="76" t="str">
        <f t="shared" si="9"/>
        <v/>
      </c>
      <c r="I52" s="76" t="str">
        <f t="shared" si="9"/>
        <v/>
      </c>
      <c r="J52" s="7"/>
      <c r="K52" s="47" t="str">
        <f t="shared" si="3"/>
        <v/>
      </c>
      <c r="L52" s="78" t="b">
        <v>0</v>
      </c>
      <c r="M52" s="7"/>
      <c r="N52" s="7"/>
      <c r="O52" s="7"/>
      <c r="P52" s="7"/>
      <c r="Q52" s="7"/>
      <c r="R52" s="7"/>
      <c r="S52" s="7"/>
      <c r="T52" s="7"/>
      <c r="U52" s="8"/>
    </row>
    <row r="53" spans="1:21" ht="13" outlineLevel="1">
      <c r="A53" s="13"/>
      <c r="B53" s="210"/>
      <c r="C53" s="27">
        <f t="shared" si="1"/>
        <v>0</v>
      </c>
      <c r="D53" s="7" t="str">
        <f t="shared" ref="D53:I53" si="10">IF($C9&gt;$C$47,D9,"")</f>
        <v/>
      </c>
      <c r="E53" s="47" t="str">
        <f t="shared" si="10"/>
        <v/>
      </c>
      <c r="F53" s="76" t="str">
        <f t="shared" si="10"/>
        <v/>
      </c>
      <c r="G53" s="76" t="str">
        <f t="shared" si="10"/>
        <v/>
      </c>
      <c r="H53" s="76" t="str">
        <f t="shared" si="10"/>
        <v/>
      </c>
      <c r="I53" s="76" t="str">
        <f t="shared" si="10"/>
        <v/>
      </c>
      <c r="J53" s="7"/>
      <c r="K53" s="47" t="str">
        <f t="shared" si="3"/>
        <v/>
      </c>
      <c r="L53" s="77" t="b">
        <v>0</v>
      </c>
      <c r="M53" s="7"/>
      <c r="N53" s="7"/>
      <c r="O53" s="7"/>
      <c r="P53" s="7"/>
      <c r="Q53" s="7"/>
      <c r="R53" s="7"/>
      <c r="S53" s="7"/>
      <c r="T53" s="7"/>
      <c r="U53" s="8"/>
    </row>
    <row r="54" spans="1:21" ht="13" outlineLevel="1">
      <c r="A54" s="13"/>
      <c r="B54" s="211"/>
      <c r="C54" s="27">
        <f t="shared" si="1"/>
        <v>0</v>
      </c>
      <c r="D54" s="7" t="str">
        <f t="shared" ref="D54:I54" si="11">IF($C10&gt;$C$47,D10,"")</f>
        <v/>
      </c>
      <c r="E54" s="47" t="str">
        <f t="shared" si="11"/>
        <v/>
      </c>
      <c r="F54" s="76" t="str">
        <f t="shared" si="11"/>
        <v/>
      </c>
      <c r="G54" s="76" t="str">
        <f t="shared" si="11"/>
        <v/>
      </c>
      <c r="H54" s="76" t="str">
        <f t="shared" si="11"/>
        <v/>
      </c>
      <c r="I54" s="76" t="str">
        <f t="shared" si="11"/>
        <v/>
      </c>
      <c r="J54" s="7"/>
      <c r="K54" s="47" t="str">
        <f t="shared" si="3"/>
        <v/>
      </c>
      <c r="L54" s="78" t="b">
        <v>0</v>
      </c>
      <c r="M54" s="7"/>
      <c r="N54" s="7"/>
      <c r="O54" s="7"/>
      <c r="P54" s="7"/>
      <c r="Q54" s="7"/>
      <c r="R54" s="7"/>
      <c r="S54" s="7"/>
      <c r="T54" s="7"/>
      <c r="U54" s="8"/>
    </row>
    <row r="55" spans="1:21" ht="13" outlineLevel="1">
      <c r="A55" s="209" t="s">
        <v>23</v>
      </c>
      <c r="B55" s="228" t="s">
        <v>288</v>
      </c>
      <c r="C55" s="21">
        <f t="shared" si="1"/>
        <v>0</v>
      </c>
      <c r="D55" s="7" t="str">
        <f t="shared" ref="D55:I55" si="12">IF($C11&gt;$C$47,D11,"")</f>
        <v/>
      </c>
      <c r="E55" s="47" t="str">
        <f t="shared" si="12"/>
        <v/>
      </c>
      <c r="F55" s="76" t="str">
        <f t="shared" si="12"/>
        <v/>
      </c>
      <c r="G55" s="76" t="str">
        <f t="shared" si="12"/>
        <v/>
      </c>
      <c r="H55" s="76" t="str">
        <f t="shared" si="12"/>
        <v/>
      </c>
      <c r="I55" s="76" t="str">
        <f t="shared" si="12"/>
        <v/>
      </c>
      <c r="J55" s="7"/>
      <c r="K55" s="47" t="str">
        <f t="shared" si="3"/>
        <v/>
      </c>
      <c r="L55" s="77" t="b">
        <v>0</v>
      </c>
      <c r="M55" s="7" t="str">
        <f t="shared" ref="M55:U55" si="13">IF($L55=TRUE,C55,"")</f>
        <v/>
      </c>
      <c r="N55" s="7" t="str">
        <f t="shared" si="13"/>
        <v/>
      </c>
      <c r="O55" s="7" t="str">
        <f t="shared" si="13"/>
        <v/>
      </c>
      <c r="P55" s="7" t="str">
        <f t="shared" si="13"/>
        <v/>
      </c>
      <c r="Q55" s="7" t="str">
        <f t="shared" si="13"/>
        <v/>
      </c>
      <c r="R55" s="7" t="str">
        <f t="shared" si="13"/>
        <v/>
      </c>
      <c r="S55" s="7" t="str">
        <f t="shared" si="13"/>
        <v/>
      </c>
      <c r="T55" s="7" t="str">
        <f t="shared" si="13"/>
        <v/>
      </c>
      <c r="U55" s="8" t="str">
        <f t="shared" si="13"/>
        <v/>
      </c>
    </row>
    <row r="56" spans="1:21" ht="87.5" outlineLevel="1">
      <c r="A56" s="210"/>
      <c r="B56" s="210"/>
      <c r="C56" s="21">
        <f t="shared" si="1"/>
        <v>3</v>
      </c>
      <c r="D56" s="7" t="str">
        <f t="shared" ref="D56:I56" si="14">IF($C12&gt;$C$47,D12,"")</f>
        <v>3.OA.A.2</v>
      </c>
      <c r="E56" s="47" t="str">
        <f t="shared" si="14"/>
        <v>Interpret whole-number quotients of whole numbers, e.g., interpret 56 ÷ 8 as the number of objects in each share when 56 objects are partitioned equally into 8 shares, or as a number of shares when 56 objects are partitioned into equal shares of 8 objects each. For example, describe a context in which a number of shares or a number of groups can be expressed as 56 ÷ 8.</v>
      </c>
      <c r="F56" s="76" t="b">
        <f t="shared" si="14"/>
        <v>1</v>
      </c>
      <c r="G56" s="76" t="b">
        <f t="shared" si="14"/>
        <v>1</v>
      </c>
      <c r="H56" s="76" t="b">
        <f t="shared" si="14"/>
        <v>1</v>
      </c>
      <c r="I56" s="76" t="b">
        <f t="shared" si="14"/>
        <v>0</v>
      </c>
      <c r="J56" s="7"/>
      <c r="K56" s="47" t="str">
        <f t="shared" si="3"/>
        <v>R-They will need to know how to read word problems
and know how what they are dividing ( 4OA.A.2)
E-This is used through out the year.A-They see this
on the ACT Aspire test.</v>
      </c>
      <c r="L56" s="77" t="b">
        <v>0</v>
      </c>
      <c r="M56" s="7" t="str">
        <f t="shared" ref="M56:U56" si="15">IF($L56=TRUE,C56,"")</f>
        <v/>
      </c>
      <c r="N56" s="7" t="str">
        <f t="shared" si="15"/>
        <v/>
      </c>
      <c r="O56" s="7" t="str">
        <f t="shared" si="15"/>
        <v/>
      </c>
      <c r="P56" s="7" t="str">
        <f t="shared" si="15"/>
        <v/>
      </c>
      <c r="Q56" s="7" t="str">
        <f t="shared" si="15"/>
        <v/>
      </c>
      <c r="R56" s="7" t="str">
        <f t="shared" si="15"/>
        <v/>
      </c>
      <c r="S56" s="7" t="str">
        <f t="shared" si="15"/>
        <v/>
      </c>
      <c r="T56" s="7" t="str">
        <f t="shared" si="15"/>
        <v/>
      </c>
      <c r="U56" s="8" t="str">
        <f t="shared" si="15"/>
        <v/>
      </c>
    </row>
    <row r="57" spans="1:21" ht="62.5" outlineLevel="1">
      <c r="A57" s="210"/>
      <c r="B57" s="210"/>
      <c r="C57" s="21">
        <f t="shared" si="1"/>
        <v>4</v>
      </c>
      <c r="D57" s="7" t="str">
        <f t="shared" ref="D57:I57" si="16">IF($C13&gt;$C$47,D13,"")</f>
        <v>3.OA.A.3</v>
      </c>
      <c r="E57" s="47" t="str">
        <f t="shared" si="16"/>
        <v>Use multiplication and division within 100 to solve word problems in situations involving equal groups, arrays, and measurement quantities, e.g., by using drawings and equations with a symbol for the unknown number to represent the problem.</v>
      </c>
      <c r="F57" s="76" t="b">
        <f t="shared" si="16"/>
        <v>1</v>
      </c>
      <c r="G57" s="76" t="b">
        <f t="shared" si="16"/>
        <v>1</v>
      </c>
      <c r="H57" s="76" t="b">
        <f t="shared" si="16"/>
        <v>1</v>
      </c>
      <c r="I57" s="76" t="b">
        <f t="shared" si="16"/>
        <v>1</v>
      </c>
      <c r="J57" s="7"/>
      <c r="K57" s="47" t="str">
        <f t="shared" si="3"/>
        <v>R-They will build in fractions with these operations. E-multiple problem situations through the year. A- it is assessed in multiple ways L- used in science too</v>
      </c>
      <c r="L57" s="77" t="b">
        <v>1</v>
      </c>
      <c r="M57" s="7">
        <f t="shared" ref="M57:U57" si="17">IF($L57=TRUE,C57,"")</f>
        <v>4</v>
      </c>
      <c r="N57" s="7" t="str">
        <f t="shared" si="17"/>
        <v>3.OA.A.3</v>
      </c>
      <c r="O57" s="7" t="str">
        <f t="shared" si="17"/>
        <v>Use multiplication and division within 100 to solve word problems in situations involving equal groups, arrays, and measurement quantities, e.g., by using drawings and equations with a symbol for the unknown number to represent the problem.</v>
      </c>
      <c r="P57" s="7" t="b">
        <f t="shared" si="17"/>
        <v>1</v>
      </c>
      <c r="Q57" s="7" t="b">
        <f t="shared" si="17"/>
        <v>1</v>
      </c>
      <c r="R57" s="7" t="b">
        <f t="shared" si="17"/>
        <v>1</v>
      </c>
      <c r="S57" s="7" t="b">
        <f t="shared" si="17"/>
        <v>1</v>
      </c>
      <c r="T57" s="7">
        <f t="shared" si="17"/>
        <v>0</v>
      </c>
      <c r="U57" s="8" t="str">
        <f t="shared" si="17"/>
        <v>R-They will build in fractions with these operations. E-multiple problem situations through the year. A- it is assessed in multiple ways L- used in science too</v>
      </c>
    </row>
    <row r="58" spans="1:21" ht="62.5" outlineLevel="1">
      <c r="A58" s="210"/>
      <c r="B58" s="211"/>
      <c r="C58" s="27">
        <f t="shared" si="1"/>
        <v>3</v>
      </c>
      <c r="D58" s="7" t="str">
        <f t="shared" ref="D58:I58" si="18">IF($C14&gt;$C$47,D14,"")</f>
        <v>3.OA.A.4</v>
      </c>
      <c r="E58" s="47" t="str">
        <f t="shared" si="18"/>
        <v>Determine the unknown whole number in a multiplication or division equation relating three whole numbers. For example, determine the unknown number that makes the equation true in each of the equations 8 × ? = 48, 5 = _ ÷ 3, 6 × 6 = ?</v>
      </c>
      <c r="F58" s="76" t="b">
        <f t="shared" si="18"/>
        <v>1</v>
      </c>
      <c r="G58" s="76" t="b">
        <f t="shared" si="18"/>
        <v>1</v>
      </c>
      <c r="H58" s="76" t="b">
        <f t="shared" si="18"/>
        <v>1</v>
      </c>
      <c r="I58" s="76" t="b">
        <f t="shared" si="18"/>
        <v>0</v>
      </c>
      <c r="J58" s="7"/>
      <c r="K58" s="47" t="str">
        <f t="shared" si="3"/>
        <v xml:space="preserve">R- Students will use this to build on multiplicative comparisons in 4th grade. E - This stragegy is throughout the year to solve mathematical equations. A - Assessed multiple ways. </v>
      </c>
      <c r="L58" s="78" t="b">
        <v>0</v>
      </c>
      <c r="M58" s="7" t="str">
        <f t="shared" ref="M58:U58" si="19">IF($L58=TRUE,C58,"")</f>
        <v/>
      </c>
      <c r="N58" s="7" t="str">
        <f t="shared" si="19"/>
        <v/>
      </c>
      <c r="O58" s="7" t="str">
        <f t="shared" si="19"/>
        <v/>
      </c>
      <c r="P58" s="7" t="str">
        <f t="shared" si="19"/>
        <v/>
      </c>
      <c r="Q58" s="7" t="str">
        <f t="shared" si="19"/>
        <v/>
      </c>
      <c r="R58" s="7" t="str">
        <f t="shared" si="19"/>
        <v/>
      </c>
      <c r="S58" s="7" t="str">
        <f t="shared" si="19"/>
        <v/>
      </c>
      <c r="T58" s="7" t="str">
        <f t="shared" si="19"/>
        <v/>
      </c>
      <c r="U58" s="8" t="str">
        <f t="shared" si="19"/>
        <v/>
      </c>
    </row>
    <row r="59" spans="1:21" ht="13" outlineLevel="1">
      <c r="A59" s="210"/>
      <c r="B59" s="237" t="s">
        <v>301</v>
      </c>
      <c r="C59" s="21">
        <f t="shared" si="1"/>
        <v>0</v>
      </c>
      <c r="D59" s="7" t="str">
        <f t="shared" ref="D59:I59" si="20">IF($C15&gt;$C$47,D15,"")</f>
        <v/>
      </c>
      <c r="E59" s="47" t="str">
        <f t="shared" si="20"/>
        <v/>
      </c>
      <c r="F59" s="76" t="str">
        <f t="shared" si="20"/>
        <v/>
      </c>
      <c r="G59" s="76" t="str">
        <f t="shared" si="20"/>
        <v/>
      </c>
      <c r="H59" s="76" t="str">
        <f t="shared" si="20"/>
        <v/>
      </c>
      <c r="I59" s="76" t="str">
        <f t="shared" si="20"/>
        <v/>
      </c>
      <c r="J59" s="7"/>
      <c r="K59" s="47" t="str">
        <f t="shared" si="3"/>
        <v/>
      </c>
      <c r="L59" s="77" t="b">
        <v>0</v>
      </c>
      <c r="M59" s="7" t="str">
        <f t="shared" ref="M59:U59" si="21">IF($L59=TRUE,C59,"")</f>
        <v/>
      </c>
      <c r="N59" s="7" t="str">
        <f t="shared" si="21"/>
        <v/>
      </c>
      <c r="O59" s="7" t="str">
        <f t="shared" si="21"/>
        <v/>
      </c>
      <c r="P59" s="7" t="str">
        <f t="shared" si="21"/>
        <v/>
      </c>
      <c r="Q59" s="7" t="str">
        <f t="shared" si="21"/>
        <v/>
      </c>
      <c r="R59" s="7" t="str">
        <f t="shared" si="21"/>
        <v/>
      </c>
      <c r="S59" s="7" t="str">
        <f t="shared" si="21"/>
        <v/>
      </c>
      <c r="T59" s="7" t="str">
        <f t="shared" si="21"/>
        <v/>
      </c>
      <c r="U59" s="8" t="str">
        <f t="shared" si="21"/>
        <v/>
      </c>
    </row>
    <row r="60" spans="1:21" ht="13" outlineLevel="1">
      <c r="A60" s="210"/>
      <c r="B60" s="211"/>
      <c r="C60" s="27">
        <f t="shared" si="1"/>
        <v>0</v>
      </c>
      <c r="D60" s="7" t="str">
        <f t="shared" ref="D60:I60" si="22">IF($C16&gt;$C$47,D16,"")</f>
        <v/>
      </c>
      <c r="E60" s="47" t="str">
        <f t="shared" si="22"/>
        <v/>
      </c>
      <c r="F60" s="76" t="str">
        <f t="shared" si="22"/>
        <v/>
      </c>
      <c r="G60" s="76" t="str">
        <f t="shared" si="22"/>
        <v/>
      </c>
      <c r="H60" s="76" t="str">
        <f t="shared" si="22"/>
        <v/>
      </c>
      <c r="I60" s="76" t="str">
        <f t="shared" si="22"/>
        <v/>
      </c>
      <c r="J60" s="7"/>
      <c r="K60" s="47" t="str">
        <f t="shared" si="3"/>
        <v/>
      </c>
      <c r="L60" s="78" t="b">
        <v>0</v>
      </c>
      <c r="M60" s="7" t="str">
        <f t="shared" ref="M60:U60" si="23">IF($L60=TRUE,C60,"")</f>
        <v/>
      </c>
      <c r="N60" s="7" t="str">
        <f t="shared" si="23"/>
        <v/>
      </c>
      <c r="O60" s="7" t="str">
        <f t="shared" si="23"/>
        <v/>
      </c>
      <c r="P60" s="7" t="str">
        <f t="shared" si="23"/>
        <v/>
      </c>
      <c r="Q60" s="7" t="str">
        <f t="shared" si="23"/>
        <v/>
      </c>
      <c r="R60" s="7" t="str">
        <f t="shared" si="23"/>
        <v/>
      </c>
      <c r="S60" s="7" t="str">
        <f t="shared" si="23"/>
        <v/>
      </c>
      <c r="T60" s="7" t="str">
        <f t="shared" si="23"/>
        <v/>
      </c>
      <c r="U60" s="8" t="str">
        <f t="shared" si="23"/>
        <v/>
      </c>
    </row>
    <row r="61" spans="1:21" ht="62.5" outlineLevel="1">
      <c r="A61" s="210"/>
      <c r="B61" s="101" t="s">
        <v>308</v>
      </c>
      <c r="C61" s="27">
        <f t="shared" si="1"/>
        <v>4</v>
      </c>
      <c r="D61" s="7" t="str">
        <f t="shared" ref="D61:I61" si="24">IF($C17&gt;$C$47,D17,"")</f>
        <v>3.OA.C.7</v>
      </c>
      <c r="E61" s="47" t="str">
        <f t="shared" si="24"/>
        <v>Fluently multiply and divide within 100, using strategies such as the relationship between multiplication and division (e.g., knowing that 8 × 5 = 40, one knows 40 ÷ 5 = 8) or properties of operations. By the end of Grade 3, know from memory all products of two one-digit numbers.</v>
      </c>
      <c r="F61" s="76" t="b">
        <f t="shared" si="24"/>
        <v>1</v>
      </c>
      <c r="G61" s="76" t="b">
        <f t="shared" si="24"/>
        <v>1</v>
      </c>
      <c r="H61" s="76" t="b">
        <f t="shared" si="24"/>
        <v>1</v>
      </c>
      <c r="I61" s="76" t="b">
        <f t="shared" si="24"/>
        <v>1</v>
      </c>
      <c r="J61" s="7"/>
      <c r="K61" s="47" t="str">
        <f t="shared" si="3"/>
        <v xml:space="preserve">R- They must understand this in order to solve this in word problems. E- used across the year, not just tested A- it is tested L- Kids count multiple groups and divide items in real ilfe. </v>
      </c>
      <c r="L61" s="77" t="b">
        <v>1</v>
      </c>
      <c r="M61" s="7">
        <f t="shared" ref="M61:U61" si="25">IF($L61=TRUE,C61,"")</f>
        <v>4</v>
      </c>
      <c r="N61" s="7" t="str">
        <f t="shared" si="25"/>
        <v>3.OA.C.7</v>
      </c>
      <c r="O61" s="7" t="str">
        <f t="shared" si="25"/>
        <v>Fluently multiply and divide within 100, using strategies such as the relationship between multiplication and division (e.g., knowing that 8 × 5 = 40, one knows 40 ÷ 5 = 8) or properties of operations. By the end of Grade 3, know from memory all products of two one-digit numbers.</v>
      </c>
      <c r="P61" s="7" t="b">
        <f t="shared" si="25"/>
        <v>1</v>
      </c>
      <c r="Q61" s="7" t="b">
        <f t="shared" si="25"/>
        <v>1</v>
      </c>
      <c r="R61" s="7" t="b">
        <f t="shared" si="25"/>
        <v>1</v>
      </c>
      <c r="S61" s="7" t="b">
        <f t="shared" si="25"/>
        <v>1</v>
      </c>
      <c r="T61" s="7">
        <f t="shared" si="25"/>
        <v>0</v>
      </c>
      <c r="U61" s="8" t="str">
        <f t="shared" si="25"/>
        <v xml:space="preserve">R- They must understand this in order to solve this in word problems. E- used across the year, not just tested A- it is tested L- Kids count multiple groups and divide items in real ilfe. </v>
      </c>
    </row>
    <row r="62" spans="1:21" ht="62.5" outlineLevel="1">
      <c r="A62" s="210"/>
      <c r="B62" s="245" t="s">
        <v>312</v>
      </c>
      <c r="C62" s="21">
        <f t="shared" si="1"/>
        <v>3</v>
      </c>
      <c r="D62" s="7" t="str">
        <f t="shared" ref="D62:I62" si="26">IF($C18&gt;$C$47,D18,"")</f>
        <v>3.OA.D.8</v>
      </c>
      <c r="E62" s="47" t="str">
        <f t="shared" si="26"/>
        <v>Solve problems involving the four operations, and identify and explain patterns in arithmetic.</v>
      </c>
      <c r="F62" s="76" t="b">
        <f t="shared" si="26"/>
        <v>1</v>
      </c>
      <c r="G62" s="76" t="b">
        <f t="shared" si="26"/>
        <v>1</v>
      </c>
      <c r="H62" s="76" t="b">
        <f t="shared" si="26"/>
        <v>1</v>
      </c>
      <c r="I62" s="76" t="b">
        <f t="shared" si="26"/>
        <v>0</v>
      </c>
      <c r="J62" s="7"/>
      <c r="K62" s="47" t="str">
        <f t="shared" si="3"/>
        <v xml:space="preserve">R - students need this foundation for 4th grade work in multi-step word problems. E - Students solve multi step problems throughout the year. A - Assessed multiple times. L - </v>
      </c>
      <c r="L62" s="78" t="b">
        <v>0</v>
      </c>
      <c r="M62" s="7" t="str">
        <f t="shared" ref="M62:U62" si="27">IF($L62=TRUE,C62,"")</f>
        <v/>
      </c>
      <c r="N62" s="7" t="str">
        <f t="shared" si="27"/>
        <v/>
      </c>
      <c r="O62" s="7" t="str">
        <f t="shared" si="27"/>
        <v/>
      </c>
      <c r="P62" s="7" t="str">
        <f t="shared" si="27"/>
        <v/>
      </c>
      <c r="Q62" s="7" t="str">
        <f t="shared" si="27"/>
        <v/>
      </c>
      <c r="R62" s="7" t="str">
        <f t="shared" si="27"/>
        <v/>
      </c>
      <c r="S62" s="7" t="str">
        <f t="shared" si="27"/>
        <v/>
      </c>
      <c r="T62" s="7" t="str">
        <f t="shared" si="27"/>
        <v/>
      </c>
      <c r="U62" s="8" t="str">
        <f t="shared" si="27"/>
        <v/>
      </c>
    </row>
    <row r="63" spans="1:21" ht="13" outlineLevel="1">
      <c r="A63" s="211"/>
      <c r="B63" s="211"/>
      <c r="C63" s="27">
        <f t="shared" si="1"/>
        <v>0</v>
      </c>
      <c r="D63" s="7" t="str">
        <f t="shared" ref="D63:I63" si="28">IF($C19&gt;$C$47,D19,"")</f>
        <v/>
      </c>
      <c r="E63" s="47" t="str">
        <f t="shared" si="28"/>
        <v/>
      </c>
      <c r="F63" s="76" t="str">
        <f t="shared" si="28"/>
        <v/>
      </c>
      <c r="G63" s="76" t="str">
        <f t="shared" si="28"/>
        <v/>
      </c>
      <c r="H63" s="76" t="str">
        <f t="shared" si="28"/>
        <v/>
      </c>
      <c r="I63" s="76" t="str">
        <f t="shared" si="28"/>
        <v/>
      </c>
      <c r="J63" s="7"/>
      <c r="K63" s="47" t="str">
        <f t="shared" si="3"/>
        <v/>
      </c>
      <c r="L63" s="77" t="b">
        <v>0</v>
      </c>
      <c r="M63" s="7" t="str">
        <f t="shared" ref="M63:U63" si="29">IF($L63=TRUE,C63,"")</f>
        <v/>
      </c>
      <c r="N63" s="7" t="str">
        <f t="shared" si="29"/>
        <v/>
      </c>
      <c r="O63" s="7" t="str">
        <f t="shared" si="29"/>
        <v/>
      </c>
      <c r="P63" s="7" t="str">
        <f t="shared" si="29"/>
        <v/>
      </c>
      <c r="Q63" s="7" t="str">
        <f t="shared" si="29"/>
        <v/>
      </c>
      <c r="R63" s="7" t="str">
        <f t="shared" si="29"/>
        <v/>
      </c>
      <c r="S63" s="7" t="str">
        <f t="shared" si="29"/>
        <v/>
      </c>
      <c r="T63" s="7" t="str">
        <f t="shared" si="29"/>
        <v/>
      </c>
      <c r="U63" s="8" t="str">
        <f t="shared" si="29"/>
        <v/>
      </c>
    </row>
    <row r="64" spans="1:21" ht="87.5" outlineLevel="1">
      <c r="A64" s="215" t="s">
        <v>39</v>
      </c>
      <c r="B64" s="220" t="s">
        <v>167</v>
      </c>
      <c r="C64" s="21">
        <f t="shared" si="1"/>
        <v>3</v>
      </c>
      <c r="D64" s="7" t="str">
        <f t="shared" ref="D64:I64" si="30">IF($C20&gt;$C$47,D20,"")</f>
        <v>3.G.A.1</v>
      </c>
      <c r="E64" s="47" t="str">
        <f t="shared" si="30"/>
        <v>Understand that shapes in different categories (e.g., rhombuses, rectangles, and others) may share attributes (e.g., having four sides), and that the shared attributes can define a larger category (e.g., quadrilaterals). Recognize rhombuses, rectangles, and squares as examples of quadrilaterals, and draw examples of quadrilaterals that do not belong to any of these subcategories.</v>
      </c>
      <c r="F64" s="76" t="b">
        <f t="shared" si="30"/>
        <v>1</v>
      </c>
      <c r="G64" s="76" t="b">
        <f t="shared" si="30"/>
        <v>1</v>
      </c>
      <c r="H64" s="76" t="b">
        <f t="shared" si="30"/>
        <v>1</v>
      </c>
      <c r="I64" s="76" t="b">
        <f t="shared" si="30"/>
        <v>0</v>
      </c>
      <c r="J64" s="7"/>
      <c r="K64" s="47" t="str">
        <f t="shared" si="3"/>
        <v>R-being able to understand what attributes the
shapes share and doesn't share will carry over to 
4th,(4.GA.2) E- geometry is built on in each grade level A-Will see this on the ACTAspire.</v>
      </c>
      <c r="L64" s="77" t="b">
        <v>0</v>
      </c>
      <c r="M64" s="7" t="str">
        <f t="shared" ref="M64:U64" si="31">IF($L64=TRUE,C64,"")</f>
        <v/>
      </c>
      <c r="N64" s="7" t="str">
        <f t="shared" si="31"/>
        <v/>
      </c>
      <c r="O64" s="7" t="str">
        <f t="shared" si="31"/>
        <v/>
      </c>
      <c r="P64" s="7" t="str">
        <f t="shared" si="31"/>
        <v/>
      </c>
      <c r="Q64" s="7" t="str">
        <f t="shared" si="31"/>
        <v/>
      </c>
      <c r="R64" s="7" t="str">
        <f t="shared" si="31"/>
        <v/>
      </c>
      <c r="S64" s="7" t="str">
        <f t="shared" si="31"/>
        <v/>
      </c>
      <c r="T64" s="7" t="str">
        <f t="shared" si="31"/>
        <v/>
      </c>
      <c r="U64" s="8" t="str">
        <f t="shared" si="31"/>
        <v/>
      </c>
    </row>
    <row r="65" spans="1:21" ht="62.5" outlineLevel="1">
      <c r="A65" s="211"/>
      <c r="B65" s="211"/>
      <c r="C65" s="27">
        <f t="shared" si="1"/>
        <v>4</v>
      </c>
      <c r="D65" s="7" t="str">
        <f t="shared" ref="D65:I65" si="32">IF($C21&gt;$C$47,D21,"")</f>
        <v>3.G.A.2</v>
      </c>
      <c r="E65" s="47" t="str">
        <f t="shared" si="32"/>
        <v>Partition shapes into parts with equal areas. Express the area of each part as a unit fraction of the whole. For example, partition a shape into 4 parts with equal area, and describe the area of each part as 1/4 of the area of the shape.</v>
      </c>
      <c r="F65" s="76" t="b">
        <f t="shared" si="32"/>
        <v>1</v>
      </c>
      <c r="G65" s="76" t="b">
        <f t="shared" si="32"/>
        <v>1</v>
      </c>
      <c r="H65" s="76" t="b">
        <f t="shared" si="32"/>
        <v>1</v>
      </c>
      <c r="I65" s="76" t="b">
        <f t="shared" si="32"/>
        <v>1</v>
      </c>
      <c r="J65" s="7"/>
      <c r="K65" s="47" t="str">
        <f t="shared" si="3"/>
        <v>R-Helps build base knowledge for fraction concepts for upper grades.A- ACT Aspire, MAP, E- fractional understanding, L- science extension</v>
      </c>
      <c r="L65" s="77" t="b">
        <v>1</v>
      </c>
      <c r="M65" s="7">
        <f t="shared" ref="M65:U65" si="33">IF($L65=TRUE,C65,"")</f>
        <v>4</v>
      </c>
      <c r="N65" s="7" t="str">
        <f t="shared" si="33"/>
        <v>3.G.A.2</v>
      </c>
      <c r="O65" s="7" t="str">
        <f t="shared" si="33"/>
        <v>Partition shapes into parts with equal areas. Express the area of each part as a unit fraction of the whole. For example, partition a shape into 4 parts with equal area, and describe the area of each part as 1/4 of the area of the shape.</v>
      </c>
      <c r="P65" s="7" t="b">
        <f t="shared" si="33"/>
        <v>1</v>
      </c>
      <c r="Q65" s="7" t="b">
        <f t="shared" si="33"/>
        <v>1</v>
      </c>
      <c r="R65" s="7" t="b">
        <f t="shared" si="33"/>
        <v>1</v>
      </c>
      <c r="S65" s="7" t="b">
        <f t="shared" si="33"/>
        <v>1</v>
      </c>
      <c r="T65" s="7">
        <f t="shared" si="33"/>
        <v>0</v>
      </c>
      <c r="U65" s="8" t="str">
        <f t="shared" si="33"/>
        <v>R-Helps build base knowledge for fraction concepts for upper grades.A- ACT Aspire, MAP, E- fractional understanding, L- science extension</v>
      </c>
    </row>
    <row r="66" spans="1:21" ht="13" outlineLevel="1">
      <c r="A66" s="222" t="s">
        <v>57</v>
      </c>
      <c r="B66" s="243" t="s">
        <v>324</v>
      </c>
      <c r="C66" s="21">
        <f t="shared" si="1"/>
        <v>0</v>
      </c>
      <c r="D66" s="7" t="str">
        <f t="shared" ref="D66:I66" si="34">IF($C22&gt;$C$47,D22,"")</f>
        <v/>
      </c>
      <c r="E66" s="47" t="str">
        <f t="shared" si="34"/>
        <v/>
      </c>
      <c r="F66" s="76" t="str">
        <f t="shared" si="34"/>
        <v/>
      </c>
      <c r="G66" s="76" t="str">
        <f t="shared" si="34"/>
        <v/>
      </c>
      <c r="H66" s="76" t="str">
        <f t="shared" si="34"/>
        <v/>
      </c>
      <c r="I66" s="76" t="str">
        <f t="shared" si="34"/>
        <v/>
      </c>
      <c r="J66" s="7"/>
      <c r="K66" s="47" t="str">
        <f t="shared" si="3"/>
        <v/>
      </c>
      <c r="L66" s="77" t="b">
        <v>0</v>
      </c>
      <c r="M66" s="7" t="str">
        <f t="shared" ref="M66:U66" si="35">IF($L66=TRUE,C66,"")</f>
        <v/>
      </c>
      <c r="N66" s="7" t="str">
        <f t="shared" si="35"/>
        <v/>
      </c>
      <c r="O66" s="7" t="str">
        <f t="shared" si="35"/>
        <v/>
      </c>
      <c r="P66" s="7" t="str">
        <f t="shared" si="35"/>
        <v/>
      </c>
      <c r="Q66" s="7" t="str">
        <f t="shared" si="35"/>
        <v/>
      </c>
      <c r="R66" s="7" t="str">
        <f t="shared" si="35"/>
        <v/>
      </c>
      <c r="S66" s="7" t="str">
        <f t="shared" si="35"/>
        <v/>
      </c>
      <c r="T66" s="7" t="str">
        <f t="shared" si="35"/>
        <v/>
      </c>
      <c r="U66" s="8" t="str">
        <f t="shared" si="35"/>
        <v/>
      </c>
    </row>
    <row r="67" spans="1:21" ht="87.5" outlineLevel="1">
      <c r="A67" s="210"/>
      <c r="B67" s="211"/>
      <c r="C67" s="27">
        <f t="shared" si="1"/>
        <v>3</v>
      </c>
      <c r="D67" s="7" t="str">
        <f t="shared" ref="D67:I67" si="36">IF($C23&gt;$C$47,D23,"")</f>
        <v>3.MD.A.2</v>
      </c>
      <c r="E67" s="47" t="str">
        <f t="shared" si="36"/>
        <v>Measure and estimate liquid volumes and masses of objects using standard units of grams (g), kilograms (kg), and liters (l). Add, subtract, multiply, or divide to solve one-step word problems involving masses or volumes that are given in the same units, e.g., by using drawings (such as a beaker with a measurement scale) to represent the problem</v>
      </c>
      <c r="F67" s="76" t="b">
        <f t="shared" si="36"/>
        <v>1</v>
      </c>
      <c r="G67" s="76" t="b">
        <f t="shared" si="36"/>
        <v>1</v>
      </c>
      <c r="H67" s="76" t="b">
        <f t="shared" si="36"/>
        <v>0</v>
      </c>
      <c r="I67" s="76" t="b">
        <f t="shared" si="36"/>
        <v>1</v>
      </c>
      <c r="J67" s="7"/>
      <c r="K67" s="47" t="str">
        <f t="shared" si="3"/>
        <v>L- using units of measurement in science 
L- students will need to be able to apply these units of measurement to one step problems and then multiple step in 4th grade.  4.MD.A.1 and 4.MD.A.2
E- using measurement units will be taught and assessed beyong 3rd grade.</v>
      </c>
      <c r="L67" s="78" t="b">
        <v>0</v>
      </c>
      <c r="M67" s="7" t="str">
        <f t="shared" ref="M67:U67" si="37">IF($L67=TRUE,C67,"")</f>
        <v/>
      </c>
      <c r="N67" s="7" t="str">
        <f t="shared" si="37"/>
        <v/>
      </c>
      <c r="O67" s="7" t="str">
        <f t="shared" si="37"/>
        <v/>
      </c>
      <c r="P67" s="7" t="str">
        <f t="shared" si="37"/>
        <v/>
      </c>
      <c r="Q67" s="7" t="str">
        <f t="shared" si="37"/>
        <v/>
      </c>
      <c r="R67" s="7" t="str">
        <f t="shared" si="37"/>
        <v/>
      </c>
      <c r="S67" s="7" t="str">
        <f t="shared" si="37"/>
        <v/>
      </c>
      <c r="T67" s="7" t="str">
        <f t="shared" si="37"/>
        <v/>
      </c>
      <c r="U67" s="8" t="str">
        <f t="shared" si="37"/>
        <v/>
      </c>
    </row>
    <row r="68" spans="1:21" ht="87.5" outlineLevel="1">
      <c r="A68" s="210"/>
      <c r="B68" s="223" t="s">
        <v>188</v>
      </c>
      <c r="C68" s="21">
        <f t="shared" si="1"/>
        <v>3</v>
      </c>
      <c r="D68" s="7" t="str">
        <f t="shared" ref="D68:I68" si="38">IF($C24&gt;$C$47,D24,"")</f>
        <v>3.MD.B.3</v>
      </c>
      <c r="E68" s="47" t="str">
        <f t="shared" si="38"/>
        <v>Draw a scaled picture graph and a scaled bar graph to represent a data set with several categories. Solve oneand two-step “how many more” and “how many less” problems using information presented in scaled bar graphs. For example, draw a bar graph in which each square in the bar graph might represent 5 pets.</v>
      </c>
      <c r="F68" s="76" t="b">
        <f t="shared" si="38"/>
        <v>0</v>
      </c>
      <c r="G68" s="76" t="b">
        <f t="shared" si="38"/>
        <v>1</v>
      </c>
      <c r="H68" s="76" t="b">
        <f t="shared" si="38"/>
        <v>1</v>
      </c>
      <c r="I68" s="76" t="b">
        <f t="shared" si="38"/>
        <v>1</v>
      </c>
      <c r="J68" s="7"/>
      <c r="K68" s="47" t="str">
        <f t="shared" si="3"/>
        <v>E-Is taught. They have to know how to make and 
read a Picture and bar graph. A-They have to graph
information on the Test. L-they have to read graphs
in Science.</v>
      </c>
      <c r="L68" s="77" t="b">
        <v>1</v>
      </c>
      <c r="M68" s="7">
        <f t="shared" ref="M68:U68" si="39">IF($L68=TRUE,C68,"")</f>
        <v>3</v>
      </c>
      <c r="N68" s="7" t="str">
        <f t="shared" si="39"/>
        <v>3.MD.B.3</v>
      </c>
      <c r="O68" s="7" t="str">
        <f t="shared" si="39"/>
        <v>Draw a scaled picture graph and a scaled bar graph to represent a data set with several categories. Solve oneand two-step “how many more” and “how many less” problems using information presented in scaled bar graphs. For example, draw a bar graph in which each square in the bar graph might represent 5 pets.</v>
      </c>
      <c r="P68" s="7" t="b">
        <f t="shared" si="39"/>
        <v>0</v>
      </c>
      <c r="Q68" s="7" t="b">
        <f t="shared" si="39"/>
        <v>1</v>
      </c>
      <c r="R68" s="7" t="b">
        <f t="shared" si="39"/>
        <v>1</v>
      </c>
      <c r="S68" s="7" t="b">
        <f t="shared" si="39"/>
        <v>1</v>
      </c>
      <c r="T68" s="7">
        <f t="shared" si="39"/>
        <v>0</v>
      </c>
      <c r="U68" s="8" t="str">
        <f t="shared" si="39"/>
        <v>E-Is taught. They have to know how to make and 
read a Picture and bar graph. A-They have to graph
information on the Test. L-they have to read graphs
in Science.</v>
      </c>
    </row>
    <row r="69" spans="1:21" ht="13" outlineLevel="1">
      <c r="A69" s="210"/>
      <c r="B69" s="211"/>
      <c r="C69" s="27">
        <f t="shared" si="1"/>
        <v>0</v>
      </c>
      <c r="D69" s="7" t="str">
        <f t="shared" ref="D69:I69" si="40">IF($C25&gt;$C$47,D25,"")</f>
        <v/>
      </c>
      <c r="E69" s="47" t="str">
        <f t="shared" si="40"/>
        <v/>
      </c>
      <c r="F69" s="76" t="str">
        <f t="shared" si="40"/>
        <v/>
      </c>
      <c r="G69" s="76" t="str">
        <f t="shared" si="40"/>
        <v/>
      </c>
      <c r="H69" s="76" t="str">
        <f t="shared" si="40"/>
        <v/>
      </c>
      <c r="I69" s="76" t="str">
        <f t="shared" si="40"/>
        <v/>
      </c>
      <c r="J69" s="7"/>
      <c r="K69" s="47" t="str">
        <f t="shared" si="3"/>
        <v/>
      </c>
      <c r="L69" s="77" t="b">
        <v>0</v>
      </c>
      <c r="M69" s="7" t="str">
        <f t="shared" ref="M69:U69" si="41">IF($L69=TRUE,C69,"")</f>
        <v/>
      </c>
      <c r="N69" s="7" t="str">
        <f t="shared" si="41"/>
        <v/>
      </c>
      <c r="O69" s="7" t="str">
        <f t="shared" si="41"/>
        <v/>
      </c>
      <c r="P69" s="7" t="str">
        <f t="shared" si="41"/>
        <v/>
      </c>
      <c r="Q69" s="7" t="str">
        <f t="shared" si="41"/>
        <v/>
      </c>
      <c r="R69" s="7" t="str">
        <f t="shared" si="41"/>
        <v/>
      </c>
      <c r="S69" s="7" t="str">
        <f t="shared" si="41"/>
        <v/>
      </c>
      <c r="T69" s="7" t="str">
        <f t="shared" si="41"/>
        <v/>
      </c>
      <c r="U69" s="8" t="str">
        <f t="shared" si="41"/>
        <v/>
      </c>
    </row>
    <row r="70" spans="1:21" ht="13" outlineLevel="1">
      <c r="A70" s="210"/>
      <c r="B70" s="241" t="s">
        <v>337</v>
      </c>
      <c r="C70" s="21">
        <f t="shared" si="1"/>
        <v>0</v>
      </c>
      <c r="D70" s="7" t="str">
        <f t="shared" ref="D70:I70" si="42">IF($C26&gt;$C$47,D26,"")</f>
        <v/>
      </c>
      <c r="E70" s="47" t="str">
        <f t="shared" si="42"/>
        <v/>
      </c>
      <c r="F70" s="76" t="str">
        <f t="shared" si="42"/>
        <v/>
      </c>
      <c r="G70" s="76" t="str">
        <f t="shared" si="42"/>
        <v/>
      </c>
      <c r="H70" s="76" t="str">
        <f t="shared" si="42"/>
        <v/>
      </c>
      <c r="I70" s="76" t="str">
        <f t="shared" si="42"/>
        <v/>
      </c>
      <c r="J70" s="7"/>
      <c r="K70" s="47" t="str">
        <f t="shared" si="3"/>
        <v/>
      </c>
      <c r="L70" s="78" t="b">
        <v>0</v>
      </c>
      <c r="M70" s="7" t="str">
        <f t="shared" ref="M70:U70" si="43">IF($L70=TRUE,C70,"")</f>
        <v/>
      </c>
      <c r="N70" s="7" t="str">
        <f t="shared" si="43"/>
        <v/>
      </c>
      <c r="O70" s="7" t="str">
        <f t="shared" si="43"/>
        <v/>
      </c>
      <c r="P70" s="7" t="str">
        <f t="shared" si="43"/>
        <v/>
      </c>
      <c r="Q70" s="7" t="str">
        <f t="shared" si="43"/>
        <v/>
      </c>
      <c r="R70" s="7" t="str">
        <f t="shared" si="43"/>
        <v/>
      </c>
      <c r="S70" s="7" t="str">
        <f t="shared" si="43"/>
        <v/>
      </c>
      <c r="T70" s="7" t="str">
        <f t="shared" si="43"/>
        <v/>
      </c>
      <c r="U70" s="8" t="str">
        <f t="shared" si="43"/>
        <v/>
      </c>
    </row>
    <row r="71" spans="1:21" ht="13" outlineLevel="1">
      <c r="A71" s="210"/>
      <c r="B71" s="210"/>
      <c r="C71" s="21">
        <f t="shared" si="1"/>
        <v>0</v>
      </c>
      <c r="D71" s="7" t="str">
        <f t="shared" ref="D71:I71" si="44">IF($C27&gt;$C$47,D27,"")</f>
        <v/>
      </c>
      <c r="E71" s="47" t="str">
        <f t="shared" si="44"/>
        <v/>
      </c>
      <c r="F71" s="76" t="str">
        <f t="shared" si="44"/>
        <v/>
      </c>
      <c r="G71" s="76" t="str">
        <f t="shared" si="44"/>
        <v/>
      </c>
      <c r="H71" s="76" t="str">
        <f t="shared" si="44"/>
        <v/>
      </c>
      <c r="I71" s="76" t="str">
        <f t="shared" si="44"/>
        <v/>
      </c>
      <c r="J71" s="7"/>
      <c r="K71" s="47" t="str">
        <f t="shared" si="3"/>
        <v/>
      </c>
      <c r="L71" s="78" t="b">
        <v>0</v>
      </c>
      <c r="M71" s="7" t="str">
        <f t="shared" ref="M71:U71" si="45">IF($L71=TRUE,C71,"")</f>
        <v/>
      </c>
      <c r="N71" s="7" t="str">
        <f t="shared" si="45"/>
        <v/>
      </c>
      <c r="O71" s="7" t="str">
        <f t="shared" si="45"/>
        <v/>
      </c>
      <c r="P71" s="7" t="str">
        <f t="shared" si="45"/>
        <v/>
      </c>
      <c r="Q71" s="7" t="str">
        <f t="shared" si="45"/>
        <v/>
      </c>
      <c r="R71" s="7" t="str">
        <f t="shared" si="45"/>
        <v/>
      </c>
      <c r="S71" s="7" t="str">
        <f t="shared" si="45"/>
        <v/>
      </c>
      <c r="T71" s="7" t="str">
        <f t="shared" si="45"/>
        <v/>
      </c>
      <c r="U71" s="8" t="str">
        <f t="shared" si="45"/>
        <v/>
      </c>
    </row>
    <row r="72" spans="1:21" ht="13" outlineLevel="1">
      <c r="A72" s="210"/>
      <c r="B72" s="210"/>
      <c r="C72" s="21">
        <f t="shared" si="1"/>
        <v>0</v>
      </c>
      <c r="D72" s="7" t="str">
        <f t="shared" ref="D72:I72" si="46">IF($C28&gt;$C$47,D28,"")</f>
        <v/>
      </c>
      <c r="E72" s="47" t="str">
        <f t="shared" si="46"/>
        <v/>
      </c>
      <c r="F72" s="76" t="str">
        <f t="shared" si="46"/>
        <v/>
      </c>
      <c r="G72" s="76" t="str">
        <f t="shared" si="46"/>
        <v/>
      </c>
      <c r="H72" s="76" t="str">
        <f t="shared" si="46"/>
        <v/>
      </c>
      <c r="I72" s="76" t="str">
        <f t="shared" si="46"/>
        <v/>
      </c>
      <c r="J72" s="7"/>
      <c r="K72" s="47" t="str">
        <f t="shared" si="3"/>
        <v/>
      </c>
      <c r="L72" s="78" t="b">
        <v>0</v>
      </c>
      <c r="M72" s="7" t="str">
        <f t="shared" ref="M72:U72" si="47">IF($L72=TRUE,C72,"")</f>
        <v/>
      </c>
      <c r="N72" s="7" t="str">
        <f t="shared" si="47"/>
        <v/>
      </c>
      <c r="O72" s="7" t="str">
        <f t="shared" si="47"/>
        <v/>
      </c>
      <c r="P72" s="7" t="str">
        <f t="shared" si="47"/>
        <v/>
      </c>
      <c r="Q72" s="7" t="str">
        <f t="shared" si="47"/>
        <v/>
      </c>
      <c r="R72" s="7" t="str">
        <f t="shared" si="47"/>
        <v/>
      </c>
      <c r="S72" s="7" t="str">
        <f t="shared" si="47"/>
        <v/>
      </c>
      <c r="T72" s="7" t="str">
        <f t="shared" si="47"/>
        <v/>
      </c>
      <c r="U72" s="8" t="str">
        <f t="shared" si="47"/>
        <v/>
      </c>
    </row>
    <row r="73" spans="1:21" ht="13" outlineLevel="1">
      <c r="A73" s="210"/>
      <c r="B73" s="210"/>
      <c r="C73" s="21">
        <f t="shared" si="1"/>
        <v>0</v>
      </c>
      <c r="D73" s="7" t="str">
        <f t="shared" ref="D73:I73" si="48">IF($C29&gt;$C$47,D29,"")</f>
        <v/>
      </c>
      <c r="E73" s="47" t="str">
        <f t="shared" si="48"/>
        <v/>
      </c>
      <c r="F73" s="76" t="str">
        <f t="shared" si="48"/>
        <v/>
      </c>
      <c r="G73" s="76" t="str">
        <f t="shared" si="48"/>
        <v/>
      </c>
      <c r="H73" s="76" t="str">
        <f t="shared" si="48"/>
        <v/>
      </c>
      <c r="I73" s="76" t="str">
        <f t="shared" si="48"/>
        <v/>
      </c>
      <c r="J73" s="7"/>
      <c r="K73" s="47" t="str">
        <f t="shared" si="3"/>
        <v/>
      </c>
      <c r="L73" s="78" t="b">
        <v>0</v>
      </c>
      <c r="M73" s="7" t="str">
        <f t="shared" ref="M73:U73" si="49">IF($L73=TRUE,C73,"")</f>
        <v/>
      </c>
      <c r="N73" s="7" t="str">
        <f t="shared" si="49"/>
        <v/>
      </c>
      <c r="O73" s="7" t="str">
        <f t="shared" si="49"/>
        <v/>
      </c>
      <c r="P73" s="7" t="str">
        <f t="shared" si="49"/>
        <v/>
      </c>
      <c r="Q73" s="7" t="str">
        <f t="shared" si="49"/>
        <v/>
      </c>
      <c r="R73" s="7" t="str">
        <f t="shared" si="49"/>
        <v/>
      </c>
      <c r="S73" s="7" t="str">
        <f t="shared" si="49"/>
        <v/>
      </c>
      <c r="T73" s="7" t="str">
        <f t="shared" si="49"/>
        <v/>
      </c>
      <c r="U73" s="8" t="str">
        <f t="shared" si="49"/>
        <v/>
      </c>
    </row>
    <row r="74" spans="1:21" ht="75" outlineLevel="1">
      <c r="A74" s="210"/>
      <c r="B74" s="210"/>
      <c r="C74" s="21">
        <f t="shared" si="1"/>
        <v>4</v>
      </c>
      <c r="D74" s="7" t="str">
        <f t="shared" ref="D74:I74" si="50">IF($C30&gt;$C$47,D30,"")</f>
        <v>3.MD.C.7</v>
      </c>
      <c r="E74" s="47" t="str">
        <f t="shared" si="50"/>
        <v>Relate area to the operations of multiplication and addition.</v>
      </c>
      <c r="F74" s="76" t="b">
        <f t="shared" si="50"/>
        <v>1</v>
      </c>
      <c r="G74" s="76" t="b">
        <f t="shared" si="50"/>
        <v>1</v>
      </c>
      <c r="H74" s="76" t="b">
        <f t="shared" si="50"/>
        <v>1</v>
      </c>
      <c r="I74" s="76" t="b">
        <f t="shared" si="50"/>
        <v>1</v>
      </c>
      <c r="J74" s="7"/>
      <c r="K74" s="47" t="str">
        <f t="shared" si="3"/>
        <v>R-understanding area helps them understand angle measurements and 4.MD.A.3 E-used to solve multiple problems using geometry A-assessed formulaicly on ACT L- Can be used to solve multiplication problems using an array/area model</v>
      </c>
      <c r="L74" s="77" t="b">
        <v>1</v>
      </c>
      <c r="M74" s="7">
        <f t="shared" ref="M74:U74" si="51">IF($L74=TRUE,C74,"")</f>
        <v>4</v>
      </c>
      <c r="N74" s="7" t="str">
        <f t="shared" si="51"/>
        <v>3.MD.C.7</v>
      </c>
      <c r="O74" s="7" t="str">
        <f t="shared" si="51"/>
        <v>Relate area to the operations of multiplication and addition.</v>
      </c>
      <c r="P74" s="7" t="b">
        <f t="shared" si="51"/>
        <v>1</v>
      </c>
      <c r="Q74" s="7" t="b">
        <f t="shared" si="51"/>
        <v>1</v>
      </c>
      <c r="R74" s="7" t="b">
        <f t="shared" si="51"/>
        <v>1</v>
      </c>
      <c r="S74" s="7" t="b">
        <f t="shared" si="51"/>
        <v>1</v>
      </c>
      <c r="T74" s="7">
        <f t="shared" si="51"/>
        <v>0</v>
      </c>
      <c r="U74" s="8" t="str">
        <f t="shared" si="51"/>
        <v>R-understanding area helps them understand angle measurements and 4.MD.A.3 E-used to solve multiple problems using geometry A-assessed formulaicly on ACT L- Can be used to solve multiplication problems using an array/area model</v>
      </c>
    </row>
    <row r="75" spans="1:21" ht="13" outlineLevel="1">
      <c r="A75" s="210"/>
      <c r="B75" s="210"/>
      <c r="C75" s="21">
        <f t="shared" si="1"/>
        <v>0</v>
      </c>
      <c r="D75" s="7" t="str">
        <f t="shared" ref="D75:I75" si="52">IF($C31&gt;$C$47,D31,"")</f>
        <v/>
      </c>
      <c r="E75" s="47" t="str">
        <f t="shared" si="52"/>
        <v/>
      </c>
      <c r="F75" s="76" t="str">
        <f t="shared" si="52"/>
        <v/>
      </c>
      <c r="G75" s="76" t="str">
        <f t="shared" si="52"/>
        <v/>
      </c>
      <c r="H75" s="76" t="str">
        <f t="shared" si="52"/>
        <v/>
      </c>
      <c r="I75" s="76" t="str">
        <f t="shared" si="52"/>
        <v/>
      </c>
      <c r="J75" s="7"/>
      <c r="K75" s="47" t="str">
        <f t="shared" si="3"/>
        <v/>
      </c>
      <c r="L75" s="78" t="b">
        <v>0</v>
      </c>
      <c r="M75" s="7" t="str">
        <f t="shared" ref="M75:U75" si="53">IF($L75=TRUE,C75,"")</f>
        <v/>
      </c>
      <c r="N75" s="7" t="str">
        <f t="shared" si="53"/>
        <v/>
      </c>
      <c r="O75" s="7" t="str">
        <f t="shared" si="53"/>
        <v/>
      </c>
      <c r="P75" s="7" t="str">
        <f t="shared" si="53"/>
        <v/>
      </c>
      <c r="Q75" s="7" t="str">
        <f t="shared" si="53"/>
        <v/>
      </c>
      <c r="R75" s="7" t="str">
        <f t="shared" si="53"/>
        <v/>
      </c>
      <c r="S75" s="7" t="str">
        <f t="shared" si="53"/>
        <v/>
      </c>
      <c r="T75" s="7" t="str">
        <f t="shared" si="53"/>
        <v/>
      </c>
      <c r="U75" s="8" t="str">
        <f t="shared" si="53"/>
        <v/>
      </c>
    </row>
    <row r="76" spans="1:21" ht="50" outlineLevel="1">
      <c r="A76" s="210"/>
      <c r="B76" s="210"/>
      <c r="C76" s="21">
        <f t="shared" si="1"/>
        <v>3</v>
      </c>
      <c r="D76" s="7" t="str">
        <f t="shared" ref="D76:I76" si="54">IF($C32&gt;$C$47,D32,"")</f>
        <v>3.MD.C.7b</v>
      </c>
      <c r="E76" s="47" t="str">
        <f t="shared" si="54"/>
        <v>Multiply side lengths to find areas of rectangles with whole-number side lengths in the context of solving real world and mathematical problems, and represent whole-number products as rectangular areas in mathematical reasoning.</v>
      </c>
      <c r="F76" s="76" t="b">
        <f t="shared" si="54"/>
        <v>1</v>
      </c>
      <c r="G76" s="76" t="b">
        <f t="shared" si="54"/>
        <v>1</v>
      </c>
      <c r="H76" s="76" t="b">
        <f t="shared" si="54"/>
        <v>1</v>
      </c>
      <c r="I76" s="76" t="b">
        <f t="shared" si="54"/>
        <v>0</v>
      </c>
      <c r="J76" s="7"/>
      <c r="K76" s="47" t="str">
        <f t="shared" si="3"/>
        <v>R  4.MD.A.3  E Students will find area beyond a test date. A-MAP, ACT</v>
      </c>
      <c r="L76" s="107" t="b">
        <v>0</v>
      </c>
      <c r="M76" s="7" t="str">
        <f t="shared" ref="M76:U76" si="55">IF($L76=TRUE,C76,"")</f>
        <v/>
      </c>
      <c r="N76" s="7" t="str">
        <f t="shared" si="55"/>
        <v/>
      </c>
      <c r="O76" s="7" t="str">
        <f t="shared" si="55"/>
        <v/>
      </c>
      <c r="P76" s="7" t="str">
        <f t="shared" si="55"/>
        <v/>
      </c>
      <c r="Q76" s="7" t="str">
        <f t="shared" si="55"/>
        <v/>
      </c>
      <c r="R76" s="7" t="str">
        <f t="shared" si="55"/>
        <v/>
      </c>
      <c r="S76" s="7" t="str">
        <f t="shared" si="55"/>
        <v/>
      </c>
      <c r="T76" s="7" t="str">
        <f t="shared" si="55"/>
        <v/>
      </c>
      <c r="U76" s="8" t="str">
        <f t="shared" si="55"/>
        <v/>
      </c>
    </row>
    <row r="77" spans="1:21" ht="62.5" outlineLevel="1">
      <c r="A77" s="210"/>
      <c r="B77" s="210"/>
      <c r="C77" s="21">
        <f t="shared" si="1"/>
        <v>3</v>
      </c>
      <c r="D77" s="7" t="str">
        <f t="shared" ref="D77:I77" si="56">IF($C33&gt;$C$47,D33,"")</f>
        <v>3.MD.C.7c</v>
      </c>
      <c r="E77" s="47" t="str">
        <f t="shared" si="56"/>
        <v>Use tiling to show in a concrete case that the area of a rectangle with whole-number side lengths a and b + c is the sum of a × b and a × c. Use area models to represent the distributive property in mathematical reasoning.</v>
      </c>
      <c r="F77" s="76" t="b">
        <f t="shared" si="56"/>
        <v>1</v>
      </c>
      <c r="G77" s="76" t="b">
        <f t="shared" si="56"/>
        <v>0</v>
      </c>
      <c r="H77" s="76" t="b">
        <f t="shared" si="56"/>
        <v>1</v>
      </c>
      <c r="I77" s="76" t="b">
        <f t="shared" si="56"/>
        <v>1</v>
      </c>
      <c r="J77" s="7"/>
      <c r="K77" s="47" t="str">
        <f t="shared" si="3"/>
        <v>R- conceptual support for area and properties of operations 
A- ACT and MAP
L-flexbility with operations will carry through all upper mathematics</v>
      </c>
      <c r="L77" s="108" t="b">
        <v>0</v>
      </c>
      <c r="M77" s="7" t="str">
        <f t="shared" ref="M77:U77" si="57">IF($L77=TRUE,C77,"")</f>
        <v/>
      </c>
      <c r="N77" s="7" t="str">
        <f t="shared" si="57"/>
        <v/>
      </c>
      <c r="O77" s="7" t="str">
        <f t="shared" si="57"/>
        <v/>
      </c>
      <c r="P77" s="7" t="str">
        <f t="shared" si="57"/>
        <v/>
      </c>
      <c r="Q77" s="7" t="str">
        <f t="shared" si="57"/>
        <v/>
      </c>
      <c r="R77" s="7" t="str">
        <f t="shared" si="57"/>
        <v/>
      </c>
      <c r="S77" s="7" t="str">
        <f t="shared" si="57"/>
        <v/>
      </c>
      <c r="T77" s="7" t="str">
        <f t="shared" si="57"/>
        <v/>
      </c>
      <c r="U77" s="8" t="str">
        <f t="shared" si="57"/>
        <v/>
      </c>
    </row>
    <row r="78" spans="1:21" ht="62.5" outlineLevel="1">
      <c r="A78" s="210"/>
      <c r="B78" s="211"/>
      <c r="C78" s="27">
        <f t="shared" si="1"/>
        <v>3</v>
      </c>
      <c r="D78" s="7" t="str">
        <f t="shared" ref="D78:I78" si="58">IF($C34&gt;$C$47,D34,"")</f>
        <v>3.MD.C.7d</v>
      </c>
      <c r="E78" s="47" t="str">
        <f t="shared" si="58"/>
        <v>Recognize area as additive. Find areas of rectilinear figures by decomposing them into nonoverlapping rectangles and adding the areas of the non-overlapping parts, applying this technique to solve real world problems.</v>
      </c>
      <c r="F78" s="76" t="b">
        <f t="shared" si="58"/>
        <v>1</v>
      </c>
      <c r="G78" s="76" t="b">
        <f t="shared" si="58"/>
        <v>0</v>
      </c>
      <c r="H78" s="76" t="b">
        <f t="shared" si="58"/>
        <v>1</v>
      </c>
      <c r="I78" s="76" t="b">
        <f t="shared" si="58"/>
        <v>1</v>
      </c>
      <c r="J78" s="7"/>
      <c r="K78" s="47" t="str">
        <f t="shared" si="3"/>
        <v>R- conceptual support for area and properties of operations 
A- ACT and MAP
L-flexbility with operations will carry through all upper mathematics</v>
      </c>
      <c r="L78" s="108" t="b">
        <v>0</v>
      </c>
      <c r="M78" s="7" t="str">
        <f t="shared" ref="M78:U78" si="59">IF($L78=TRUE,C78,"")</f>
        <v/>
      </c>
      <c r="N78" s="7" t="str">
        <f t="shared" si="59"/>
        <v/>
      </c>
      <c r="O78" s="7" t="str">
        <f t="shared" si="59"/>
        <v/>
      </c>
      <c r="P78" s="7" t="str">
        <f t="shared" si="59"/>
        <v/>
      </c>
      <c r="Q78" s="7" t="str">
        <f t="shared" si="59"/>
        <v/>
      </c>
      <c r="R78" s="7" t="str">
        <f t="shared" si="59"/>
        <v/>
      </c>
      <c r="S78" s="7" t="str">
        <f t="shared" si="59"/>
        <v/>
      </c>
      <c r="T78" s="7" t="str">
        <f t="shared" si="59"/>
        <v/>
      </c>
      <c r="U78" s="8" t="str">
        <f t="shared" si="59"/>
        <v/>
      </c>
    </row>
    <row r="79" spans="1:21" ht="50" outlineLevel="1">
      <c r="A79" s="211"/>
      <c r="B79" s="72" t="s">
        <v>364</v>
      </c>
      <c r="C79" s="27">
        <f t="shared" si="1"/>
        <v>0</v>
      </c>
      <c r="D79" s="7" t="str">
        <f t="shared" ref="D79:I79" si="60">IF($C35&gt;$C$47,D35,"")</f>
        <v/>
      </c>
      <c r="E79" s="47" t="str">
        <f t="shared" si="60"/>
        <v/>
      </c>
      <c r="F79" s="76" t="str">
        <f t="shared" si="60"/>
        <v/>
      </c>
      <c r="G79" s="76" t="str">
        <f t="shared" si="60"/>
        <v/>
      </c>
      <c r="H79" s="76" t="str">
        <f t="shared" si="60"/>
        <v/>
      </c>
      <c r="I79" s="76" t="str">
        <f t="shared" si="60"/>
        <v/>
      </c>
      <c r="J79" s="7"/>
      <c r="K79" s="47" t="str">
        <f t="shared" si="3"/>
        <v/>
      </c>
      <c r="L79" s="108" t="b">
        <v>0</v>
      </c>
      <c r="M79" s="7" t="str">
        <f t="shared" ref="M79:U79" si="61">IF($L79=TRUE,C79,"")</f>
        <v/>
      </c>
      <c r="N79" s="7" t="str">
        <f t="shared" si="61"/>
        <v/>
      </c>
      <c r="O79" s="7" t="str">
        <f t="shared" si="61"/>
        <v/>
      </c>
      <c r="P79" s="7" t="str">
        <f t="shared" si="61"/>
        <v/>
      </c>
      <c r="Q79" s="7" t="str">
        <f t="shared" si="61"/>
        <v/>
      </c>
      <c r="R79" s="7" t="str">
        <f t="shared" si="61"/>
        <v/>
      </c>
      <c r="S79" s="7" t="str">
        <f t="shared" si="61"/>
        <v/>
      </c>
      <c r="T79" s="7" t="str">
        <f t="shared" si="61"/>
        <v/>
      </c>
      <c r="U79" s="8" t="str">
        <f t="shared" si="61"/>
        <v/>
      </c>
    </row>
    <row r="80" spans="1:21" ht="13" outlineLevel="1">
      <c r="A80" s="247" t="s">
        <v>368</v>
      </c>
      <c r="B80" s="246" t="s">
        <v>369</v>
      </c>
      <c r="C80" s="21">
        <f t="shared" si="1"/>
        <v>0</v>
      </c>
      <c r="D80" s="7" t="str">
        <f t="shared" ref="D80:I80" si="62">IF($C36&gt;$C$47,D36,"")</f>
        <v/>
      </c>
      <c r="E80" s="47" t="str">
        <f t="shared" si="62"/>
        <v/>
      </c>
      <c r="F80" s="76" t="str">
        <f t="shared" si="62"/>
        <v/>
      </c>
      <c r="G80" s="76" t="str">
        <f t="shared" si="62"/>
        <v/>
      </c>
      <c r="H80" s="76" t="str">
        <f t="shared" si="62"/>
        <v/>
      </c>
      <c r="I80" s="76" t="str">
        <f t="shared" si="62"/>
        <v/>
      </c>
      <c r="J80" s="7"/>
      <c r="K80" s="47" t="str">
        <f t="shared" si="3"/>
        <v/>
      </c>
      <c r="L80" s="107" t="b">
        <v>0</v>
      </c>
      <c r="M80" s="7" t="str">
        <f t="shared" ref="M80:U80" si="63">IF($L80=TRUE,C80,"")</f>
        <v/>
      </c>
      <c r="N80" s="7" t="str">
        <f t="shared" si="63"/>
        <v/>
      </c>
      <c r="O80" s="7" t="str">
        <f t="shared" si="63"/>
        <v/>
      </c>
      <c r="P80" s="7" t="str">
        <f t="shared" si="63"/>
        <v/>
      </c>
      <c r="Q80" s="7" t="str">
        <f t="shared" si="63"/>
        <v/>
      </c>
      <c r="R80" s="7" t="str">
        <f t="shared" si="63"/>
        <v/>
      </c>
      <c r="S80" s="7" t="str">
        <f t="shared" si="63"/>
        <v/>
      </c>
      <c r="T80" s="7" t="str">
        <f t="shared" si="63"/>
        <v/>
      </c>
      <c r="U80" s="8" t="str">
        <f t="shared" si="63"/>
        <v/>
      </c>
    </row>
    <row r="81" spans="1:21" ht="13" outlineLevel="1">
      <c r="A81" s="210"/>
      <c r="B81" s="210"/>
      <c r="C81" s="21">
        <f t="shared" si="1"/>
        <v>0</v>
      </c>
      <c r="D81" s="7" t="str">
        <f t="shared" ref="D81:I81" si="64">IF($C37&gt;$C$47,D37,"")</f>
        <v/>
      </c>
      <c r="E81" s="47" t="str">
        <f t="shared" si="64"/>
        <v/>
      </c>
      <c r="F81" s="76" t="str">
        <f t="shared" si="64"/>
        <v/>
      </c>
      <c r="G81" s="76" t="str">
        <f t="shared" si="64"/>
        <v/>
      </c>
      <c r="H81" s="76" t="str">
        <f t="shared" si="64"/>
        <v/>
      </c>
      <c r="I81" s="76" t="str">
        <f t="shared" si="64"/>
        <v/>
      </c>
      <c r="J81" s="7"/>
      <c r="K81" s="47" t="str">
        <f t="shared" si="3"/>
        <v/>
      </c>
      <c r="L81" s="108" t="b">
        <v>0</v>
      </c>
      <c r="M81" s="7" t="str">
        <f t="shared" ref="M81:U81" si="65">IF($L81=TRUE,C81,"")</f>
        <v/>
      </c>
      <c r="N81" s="7" t="str">
        <f t="shared" si="65"/>
        <v/>
      </c>
      <c r="O81" s="7" t="str">
        <f t="shared" si="65"/>
        <v/>
      </c>
      <c r="P81" s="7" t="str">
        <f t="shared" si="65"/>
        <v/>
      </c>
      <c r="Q81" s="7" t="str">
        <f t="shared" si="65"/>
        <v/>
      </c>
      <c r="R81" s="7" t="str">
        <f t="shared" si="65"/>
        <v/>
      </c>
      <c r="S81" s="7" t="str">
        <f t="shared" si="65"/>
        <v/>
      </c>
      <c r="T81" s="7" t="str">
        <f t="shared" si="65"/>
        <v/>
      </c>
      <c r="U81" s="8" t="str">
        <f t="shared" si="65"/>
        <v/>
      </c>
    </row>
    <row r="82" spans="1:21" ht="75" outlineLevel="1">
      <c r="A82" s="210"/>
      <c r="B82" s="210"/>
      <c r="C82" s="21">
        <f t="shared" si="1"/>
        <v>3</v>
      </c>
      <c r="D82" s="7" t="str">
        <f t="shared" ref="D82:I82" si="66">IF($C38&gt;$C$47,D38,"")</f>
        <v>3.NF.A.2a</v>
      </c>
      <c r="E82" s="47" t="str">
        <f t="shared" si="66"/>
        <v>Represent a fraction 1/b on a number line diagram by defining the interval from 0 to 1 as the whole and partitioning it into b equal parts. Recognize that each part has size 1/b and that the endpoint of the part based at 0 locates the number 1/b on the number line.</v>
      </c>
      <c r="F82" s="76" t="b">
        <f t="shared" si="66"/>
        <v>1</v>
      </c>
      <c r="G82" s="76" t="b">
        <f t="shared" si="66"/>
        <v>1</v>
      </c>
      <c r="H82" s="76" t="b">
        <f t="shared" si="66"/>
        <v>1</v>
      </c>
      <c r="I82" s="76" t="b">
        <f t="shared" si="66"/>
        <v>0</v>
      </c>
      <c r="J82" s="7"/>
      <c r="K82" s="47" t="str">
        <f t="shared" si="3"/>
        <v>R- Fractions is an entire strand in 4th grade and this concept will build on what they need to know to multiplly and add fractions. E- Students are going to need to know this in order to compare/order fraction sizes. A- Assessed in multiple areas.</v>
      </c>
      <c r="L82" s="108" t="b">
        <v>0</v>
      </c>
      <c r="M82" s="7" t="str">
        <f t="shared" ref="M82:U82" si="67">IF($L82=TRUE,C82,"")</f>
        <v/>
      </c>
      <c r="N82" s="7" t="str">
        <f t="shared" si="67"/>
        <v/>
      </c>
      <c r="O82" s="7" t="str">
        <f t="shared" si="67"/>
        <v/>
      </c>
      <c r="P82" s="7" t="str">
        <f t="shared" si="67"/>
        <v/>
      </c>
      <c r="Q82" s="7" t="str">
        <f t="shared" si="67"/>
        <v/>
      </c>
      <c r="R82" s="7" t="str">
        <f t="shared" si="67"/>
        <v/>
      </c>
      <c r="S82" s="7" t="str">
        <f t="shared" si="67"/>
        <v/>
      </c>
      <c r="T82" s="7" t="str">
        <f t="shared" si="67"/>
        <v/>
      </c>
      <c r="U82" s="8" t="str">
        <f t="shared" si="67"/>
        <v/>
      </c>
    </row>
    <row r="83" spans="1:21" ht="13" outlineLevel="1">
      <c r="A83" s="210"/>
      <c r="B83" s="210"/>
      <c r="C83" s="21">
        <f t="shared" si="1"/>
        <v>0</v>
      </c>
      <c r="D83" s="7" t="str">
        <f t="shared" ref="D83:I83" si="68">IF($C39&gt;$C$47,D39,"")</f>
        <v/>
      </c>
      <c r="E83" s="47" t="str">
        <f t="shared" si="68"/>
        <v/>
      </c>
      <c r="F83" s="76" t="str">
        <f t="shared" si="68"/>
        <v/>
      </c>
      <c r="G83" s="76" t="str">
        <f t="shared" si="68"/>
        <v/>
      </c>
      <c r="H83" s="76" t="str">
        <f t="shared" si="68"/>
        <v/>
      </c>
      <c r="I83" s="76" t="str">
        <f t="shared" si="68"/>
        <v/>
      </c>
      <c r="J83" s="7"/>
      <c r="K83" s="47" t="str">
        <f t="shared" si="3"/>
        <v/>
      </c>
      <c r="L83" s="108" t="b">
        <v>0</v>
      </c>
      <c r="M83" s="7" t="str">
        <f t="shared" ref="M83:U83" si="69">IF($L83=TRUE,C83,"")</f>
        <v/>
      </c>
      <c r="N83" s="7" t="str">
        <f t="shared" si="69"/>
        <v/>
      </c>
      <c r="O83" s="7" t="str">
        <f t="shared" si="69"/>
        <v/>
      </c>
      <c r="P83" s="7" t="str">
        <f t="shared" si="69"/>
        <v/>
      </c>
      <c r="Q83" s="7" t="str">
        <f t="shared" si="69"/>
        <v/>
      </c>
      <c r="R83" s="7" t="str">
        <f t="shared" si="69"/>
        <v/>
      </c>
      <c r="S83" s="7" t="str">
        <f t="shared" si="69"/>
        <v/>
      </c>
      <c r="T83" s="7" t="str">
        <f t="shared" si="69"/>
        <v/>
      </c>
      <c r="U83" s="8" t="str">
        <f t="shared" si="69"/>
        <v/>
      </c>
    </row>
    <row r="84" spans="1:21" ht="62.5" outlineLevel="1">
      <c r="A84" s="210"/>
      <c r="B84" s="210"/>
      <c r="C84" s="21">
        <f t="shared" si="1"/>
        <v>4</v>
      </c>
      <c r="D84" s="7" t="str">
        <f t="shared" ref="D84:I84" si="70">IF($C40&gt;$C$47,D40,"")</f>
        <v>3.NF.A.3</v>
      </c>
      <c r="E84" s="47" t="str">
        <f t="shared" si="70"/>
        <v>Explain equivalence of fractions in special cases, and compare fractions by reasoning about their size.</v>
      </c>
      <c r="F84" s="76" t="b">
        <f t="shared" si="70"/>
        <v>1</v>
      </c>
      <c r="G84" s="76" t="b">
        <f t="shared" si="70"/>
        <v>1</v>
      </c>
      <c r="H84" s="76" t="b">
        <f t="shared" si="70"/>
        <v>1</v>
      </c>
      <c r="I84" s="76" t="b">
        <f t="shared" si="70"/>
        <v>1</v>
      </c>
      <c r="J84" s="7"/>
      <c r="K84" s="47" t="str">
        <f t="shared" si="3"/>
        <v xml:space="preserve">R- Fractions is an entire strand in 4th grade. E- This concept is built on throughout the entire year. A- Will be assessed multiple ways L- Students will use fractions in real life to cook, measure, estimate, etc. </v>
      </c>
      <c r="L84" s="107" t="b">
        <v>1</v>
      </c>
      <c r="M84" s="7">
        <f t="shared" ref="M84:U84" si="71">IF($L84=TRUE,C84,"")</f>
        <v>4</v>
      </c>
      <c r="N84" s="7" t="str">
        <f t="shared" si="71"/>
        <v>3.NF.A.3</v>
      </c>
      <c r="O84" s="7" t="str">
        <f t="shared" si="71"/>
        <v>Explain equivalence of fractions in special cases, and compare fractions by reasoning about their size.</v>
      </c>
      <c r="P84" s="7" t="b">
        <f t="shared" si="71"/>
        <v>1</v>
      </c>
      <c r="Q84" s="7" t="b">
        <f t="shared" si="71"/>
        <v>1</v>
      </c>
      <c r="R84" s="7" t="b">
        <f t="shared" si="71"/>
        <v>1</v>
      </c>
      <c r="S84" s="7" t="b">
        <f t="shared" si="71"/>
        <v>1</v>
      </c>
      <c r="T84" s="7">
        <f t="shared" si="71"/>
        <v>0</v>
      </c>
      <c r="U84" s="8" t="str">
        <f t="shared" si="71"/>
        <v xml:space="preserve">R- Fractions is an entire strand in 4th grade. E- This concept is built on throughout the entire year. A- Will be assessed multiple ways L- Students will use fractions in real life to cook, measure, estimate, etc. </v>
      </c>
    </row>
    <row r="85" spans="1:21" ht="13" outlineLevel="1">
      <c r="A85" s="210"/>
      <c r="B85" s="210"/>
      <c r="C85" s="21">
        <f t="shared" si="1"/>
        <v>0</v>
      </c>
      <c r="D85" s="7" t="str">
        <f t="shared" ref="D85:I85" si="72">IF($C41&gt;$C$47,D41,"")</f>
        <v/>
      </c>
      <c r="E85" s="47" t="str">
        <f t="shared" si="72"/>
        <v/>
      </c>
      <c r="F85" s="76" t="str">
        <f t="shared" si="72"/>
        <v/>
      </c>
      <c r="G85" s="76" t="str">
        <f t="shared" si="72"/>
        <v/>
      </c>
      <c r="H85" s="76" t="str">
        <f t="shared" si="72"/>
        <v/>
      </c>
      <c r="I85" s="76" t="str">
        <f t="shared" si="72"/>
        <v/>
      </c>
      <c r="J85" s="7"/>
      <c r="K85" s="47" t="str">
        <f t="shared" si="3"/>
        <v/>
      </c>
      <c r="L85" s="107" t="b">
        <v>0</v>
      </c>
      <c r="M85" s="7" t="str">
        <f t="shared" ref="M85:U85" si="73">IF($L85=TRUE,C85,"")</f>
        <v/>
      </c>
      <c r="N85" s="7" t="str">
        <f t="shared" si="73"/>
        <v/>
      </c>
      <c r="O85" s="7" t="str">
        <f t="shared" si="73"/>
        <v/>
      </c>
      <c r="P85" s="7" t="str">
        <f t="shared" si="73"/>
        <v/>
      </c>
      <c r="Q85" s="7" t="str">
        <f t="shared" si="73"/>
        <v/>
      </c>
      <c r="R85" s="7" t="str">
        <f t="shared" si="73"/>
        <v/>
      </c>
      <c r="S85" s="7" t="str">
        <f t="shared" si="73"/>
        <v/>
      </c>
      <c r="T85" s="7" t="str">
        <f t="shared" si="73"/>
        <v/>
      </c>
      <c r="U85" s="8" t="str">
        <f t="shared" si="73"/>
        <v/>
      </c>
    </row>
    <row r="86" spans="1:21" ht="75" outlineLevel="1">
      <c r="A86" s="210"/>
      <c r="B86" s="210"/>
      <c r="C86" s="21">
        <f t="shared" si="1"/>
        <v>4</v>
      </c>
      <c r="D86" s="7" t="str">
        <f t="shared" ref="D86:I86" si="74">IF($C42&gt;$C$47,D42,"")</f>
        <v>3.NF.A.3b</v>
      </c>
      <c r="E86" s="47" t="str">
        <f t="shared" si="74"/>
        <v>Recognize and generate simple equivalent fractions, e.g., 1/2 = 2/4, 4/6 = 2/3. Explain why the fractions are equivalent, e.g., by using a visual fraction model.</v>
      </c>
      <c r="F86" s="76" t="b">
        <f t="shared" si="74"/>
        <v>1</v>
      </c>
      <c r="G86" s="76" t="b">
        <f t="shared" si="74"/>
        <v>1</v>
      </c>
      <c r="H86" s="76" t="b">
        <f t="shared" si="74"/>
        <v>1</v>
      </c>
      <c r="I86" s="76" t="b">
        <f t="shared" si="74"/>
        <v>1</v>
      </c>
      <c r="J86" s="7"/>
      <c r="K86" s="47" t="str">
        <f t="shared" si="3"/>
        <v>R- simple equivalance will be built upon by more complex in higher grades,
E- revisited in multiple units of instruciton in 3rd grade
A- ACT Apsire and MAP
L- Used in science as well</v>
      </c>
      <c r="L86" s="107" t="b">
        <v>0</v>
      </c>
      <c r="M86" s="7" t="str">
        <f t="shared" ref="M86:U86" si="75">IF($L86=TRUE,C86,"")</f>
        <v/>
      </c>
      <c r="N86" s="7" t="str">
        <f t="shared" si="75"/>
        <v/>
      </c>
      <c r="O86" s="7" t="str">
        <f t="shared" si="75"/>
        <v/>
      </c>
      <c r="P86" s="7" t="str">
        <f t="shared" si="75"/>
        <v/>
      </c>
      <c r="Q86" s="7" t="str">
        <f t="shared" si="75"/>
        <v/>
      </c>
      <c r="R86" s="7" t="str">
        <f t="shared" si="75"/>
        <v/>
      </c>
      <c r="S86" s="7" t="str">
        <f t="shared" si="75"/>
        <v/>
      </c>
      <c r="T86" s="7" t="str">
        <f t="shared" si="75"/>
        <v/>
      </c>
      <c r="U86" s="8" t="str">
        <f t="shared" si="75"/>
        <v/>
      </c>
    </row>
    <row r="87" spans="1:21" ht="13" outlineLevel="1">
      <c r="A87" s="210"/>
      <c r="B87" s="210"/>
      <c r="C87" s="21">
        <f t="shared" si="1"/>
        <v>0</v>
      </c>
      <c r="D87" s="7" t="str">
        <f t="shared" ref="D87:I87" si="76">IF($C43&gt;$C$47,D43,"")</f>
        <v/>
      </c>
      <c r="E87" s="47" t="str">
        <f t="shared" si="76"/>
        <v/>
      </c>
      <c r="F87" s="76" t="str">
        <f t="shared" si="76"/>
        <v/>
      </c>
      <c r="G87" s="76" t="str">
        <f t="shared" si="76"/>
        <v/>
      </c>
      <c r="H87" s="76" t="str">
        <f t="shared" si="76"/>
        <v/>
      </c>
      <c r="I87" s="76" t="str">
        <f t="shared" si="76"/>
        <v/>
      </c>
      <c r="J87" s="7"/>
      <c r="K87" s="47" t="str">
        <f t="shared" si="3"/>
        <v/>
      </c>
      <c r="L87" s="108" t="b">
        <v>0</v>
      </c>
      <c r="M87" s="7" t="str">
        <f t="shared" ref="M87:U87" si="77">IF($L87=TRUE,C87,"")</f>
        <v/>
      </c>
      <c r="N87" s="7" t="str">
        <f t="shared" si="77"/>
        <v/>
      </c>
      <c r="O87" s="7" t="str">
        <f t="shared" si="77"/>
        <v/>
      </c>
      <c r="P87" s="7" t="str">
        <f t="shared" si="77"/>
        <v/>
      </c>
      <c r="Q87" s="7" t="str">
        <f t="shared" si="77"/>
        <v/>
      </c>
      <c r="R87" s="7" t="str">
        <f t="shared" si="77"/>
        <v/>
      </c>
      <c r="S87" s="7" t="str">
        <f t="shared" si="77"/>
        <v/>
      </c>
      <c r="T87" s="7" t="str">
        <f t="shared" si="77"/>
        <v/>
      </c>
      <c r="U87" s="8" t="str">
        <f t="shared" si="77"/>
        <v/>
      </c>
    </row>
    <row r="88" spans="1:21" ht="75" outlineLevel="1">
      <c r="A88" s="211"/>
      <c r="B88" s="211"/>
      <c r="C88" s="21">
        <f t="shared" si="1"/>
        <v>4</v>
      </c>
      <c r="D88" s="7" t="str">
        <f t="shared" ref="D88:I88" si="78">IF($C44&gt;$C$47,D44,"")</f>
        <v>3.NF.A.3d</v>
      </c>
      <c r="E88" s="47" t="str">
        <f t="shared" si="78"/>
        <v>Compare two fractions with the same numerator or the same denominator by reasoning about their size. Recognize that comparisons are valid only when the two fractions refer to the same whole. Record the results of comparisons with the symbols &gt;, =, or &lt;, and justify the conclusions, e.g., by using a visual fraction model.</v>
      </c>
      <c r="F88" s="76" t="b">
        <f t="shared" si="78"/>
        <v>1</v>
      </c>
      <c r="G88" s="76" t="b">
        <f t="shared" si="78"/>
        <v>1</v>
      </c>
      <c r="H88" s="76" t="b">
        <f t="shared" si="78"/>
        <v>1</v>
      </c>
      <c r="I88" s="76" t="b">
        <f t="shared" si="78"/>
        <v>1</v>
      </c>
      <c r="J88" s="7"/>
      <c r="K88" s="47" t="str">
        <f t="shared" si="3"/>
        <v>R- 4.NF.A.2
E-comparing fractions with different numerators and demoninators need this standard
A- ACT Aspire
L- Science/cooking, baking in real life</v>
      </c>
      <c r="L88" s="107" t="b">
        <v>1</v>
      </c>
      <c r="M88" s="7">
        <f t="shared" ref="M88:U88" si="79">IF($L88=TRUE,C88,"")</f>
        <v>4</v>
      </c>
      <c r="N88" s="7" t="str">
        <f t="shared" si="79"/>
        <v>3.NF.A.3d</v>
      </c>
      <c r="O88" s="7" t="str">
        <f t="shared" si="79"/>
        <v>Compare two fractions with the same numerator or the same denominator by reasoning about their size. Recognize that comparisons are valid only when the two fractions refer to the same whole. Record the results of comparisons with the symbols &gt;, =, or &lt;, and justify the conclusions, e.g., by using a visual fraction model.</v>
      </c>
      <c r="P88" s="7" t="b">
        <f t="shared" si="79"/>
        <v>1</v>
      </c>
      <c r="Q88" s="7" t="b">
        <f t="shared" si="79"/>
        <v>1</v>
      </c>
      <c r="R88" s="7" t="b">
        <f t="shared" si="79"/>
        <v>1</v>
      </c>
      <c r="S88" s="7" t="b">
        <f t="shared" si="79"/>
        <v>1</v>
      </c>
      <c r="T88" s="7">
        <f t="shared" si="79"/>
        <v>0</v>
      </c>
      <c r="U88" s="8" t="str">
        <f t="shared" si="79"/>
        <v>R- 4.NF.A.2
E-comparing fractions with different numerators and demoninators need this standard
A- ACT Aspire
L- Science/cooking, baking in real life</v>
      </c>
    </row>
  </sheetData>
  <mergeCells count="36">
    <mergeCell ref="A49:A51"/>
    <mergeCell ref="B49:B54"/>
    <mergeCell ref="B55:B58"/>
    <mergeCell ref="B59:B60"/>
    <mergeCell ref="B62:B63"/>
    <mergeCell ref="A55:A63"/>
    <mergeCell ref="A64:A65"/>
    <mergeCell ref="A66:A79"/>
    <mergeCell ref="A80:A88"/>
    <mergeCell ref="B64:B65"/>
    <mergeCell ref="B66:B67"/>
    <mergeCell ref="B68:B69"/>
    <mergeCell ref="B70:B78"/>
    <mergeCell ref="B80:B88"/>
    <mergeCell ref="A47:B47"/>
    <mergeCell ref="A48:B48"/>
    <mergeCell ref="B11:B14"/>
    <mergeCell ref="B15:B16"/>
    <mergeCell ref="A20:A21"/>
    <mergeCell ref="B20:B21"/>
    <mergeCell ref="B22:B23"/>
    <mergeCell ref="B24:B25"/>
    <mergeCell ref="B26:B34"/>
    <mergeCell ref="A22:A35"/>
    <mergeCell ref="A36:A44"/>
    <mergeCell ref="A11:A19"/>
    <mergeCell ref="B18:B19"/>
    <mergeCell ref="B36:B44"/>
    <mergeCell ref="A46:B46"/>
    <mergeCell ref="F46:G46"/>
    <mergeCell ref="A2:B2"/>
    <mergeCell ref="C2:K2"/>
    <mergeCell ref="A3:K3"/>
    <mergeCell ref="A4:B4"/>
    <mergeCell ref="A5:A10"/>
    <mergeCell ref="B5:B10"/>
  </mergeCells>
  <conditionalFormatting sqref="D46">
    <cfRule type="expression" dxfId="39" priority="1">
      <formula>D46&lt;=K46</formula>
    </cfRule>
  </conditionalFormatting>
  <conditionalFormatting sqref="D46">
    <cfRule type="expression" dxfId="38" priority="2">
      <formula>D46&gt;K46</formula>
    </cfRule>
  </conditionalFormatting>
  <conditionalFormatting sqref="L49">
    <cfRule type="expression" dxfId="37" priority="3">
      <formula>not</formula>
    </cfRule>
  </conditionalFormatting>
  <conditionalFormatting sqref="F49:I88">
    <cfRule type="cellIs" dxfId="36" priority="4" operator="equal">
      <formula>"TRUE"</formula>
    </cfRule>
  </conditionalFormatting>
  <conditionalFormatting sqref="F49:I88">
    <cfRule type="cellIs" dxfId="35" priority="5" operator="equal">
      <formula>"FALSE"</formula>
    </cfRule>
  </conditionalFormatting>
  <conditionalFormatting sqref="C5:C44 C49:C88">
    <cfRule type="cellIs" dxfId="34" priority="6" operator="equal">
      <formula>0</formula>
    </cfRule>
  </conditionalFormatting>
  <conditionalFormatting sqref="C5:C44 C49:C88">
    <cfRule type="cellIs" dxfId="33" priority="7" operator="equal">
      <formula>1</formula>
    </cfRule>
  </conditionalFormatting>
  <conditionalFormatting sqref="C5:C44 C49:C88">
    <cfRule type="cellIs" dxfId="32" priority="8" operator="equal">
      <formula>2</formula>
    </cfRule>
  </conditionalFormatting>
  <conditionalFormatting sqref="C5:C44 C49:C88">
    <cfRule type="cellIs" dxfId="31" priority="9" operator="equal">
      <formula>3</formula>
    </cfRule>
  </conditionalFormatting>
  <conditionalFormatting sqref="C5:C44 C49:C88">
    <cfRule type="cellIs" dxfId="30" priority="10" operator="equal">
      <formula>4</formula>
    </cfRule>
  </conditionalFormatting>
  <hyperlinks>
    <hyperlink ref="K23" r:id="rId1" xr:uid="{00000000-0004-0000-0400-000000000000}"/>
    <hyperlink ref="K30" r:id="rId2" xr:uid="{00000000-0004-0000-0400-000001000000}"/>
    <hyperlink ref="K44" r:id="rId3" xr:uid="{00000000-0004-0000-0400-000002000000}"/>
  </hyperlinks>
  <pageMargins left="0.7" right="0.7" top="0.75" bottom="0.75" header="0.3" footer="0.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6D9EEB"/>
    <outlinePr summaryBelow="0" summaryRight="0"/>
    <pageSetUpPr fitToPage="1"/>
  </sheetPr>
  <dimension ref="A1:U83"/>
  <sheetViews>
    <sheetView workbookViewId="0"/>
  </sheetViews>
  <sheetFormatPr defaultColWidth="12.6328125" defaultRowHeight="15.75" customHeight="1" outlineLevelRow="1" outlineLevelCol="1"/>
  <cols>
    <col min="1" max="1" width="4.453125" customWidth="1"/>
    <col min="2" max="2" width="13.90625" customWidth="1"/>
    <col min="3" max="3" width="4.453125" customWidth="1"/>
    <col min="4" max="4" width="9.453125" customWidth="1"/>
    <col min="5" max="5" width="50.08984375" customWidth="1"/>
    <col min="6" max="9" width="2.6328125" customWidth="1"/>
    <col min="10" max="10" width="0.7265625" customWidth="1"/>
    <col min="11" max="11" width="37.6328125" customWidth="1"/>
    <col min="12" max="12" width="7.6328125" customWidth="1" collapsed="1"/>
    <col min="13" max="21" width="12.6328125" hidden="1" outlineLevel="1"/>
  </cols>
  <sheetData>
    <row r="1" spans="1:21" ht="4.5" customHeight="1">
      <c r="A1" s="5"/>
      <c r="B1" s="6"/>
      <c r="C1" s="6"/>
      <c r="D1" s="6"/>
      <c r="E1" s="6"/>
      <c r="F1" s="6"/>
      <c r="G1" s="6"/>
      <c r="H1" s="6"/>
      <c r="I1" s="6"/>
      <c r="J1" s="6"/>
      <c r="K1" s="6"/>
      <c r="L1" s="7"/>
      <c r="M1" s="7"/>
      <c r="N1" s="7"/>
      <c r="O1" s="7"/>
      <c r="P1" s="7"/>
      <c r="Q1" s="7"/>
      <c r="R1" s="7"/>
      <c r="S1" s="7"/>
      <c r="T1" s="7"/>
      <c r="U1" s="7"/>
    </row>
    <row r="2" spans="1:21" ht="13" outlineLevel="1">
      <c r="A2" s="202" t="s">
        <v>6</v>
      </c>
      <c r="B2" s="203"/>
      <c r="C2" s="230" t="s">
        <v>7</v>
      </c>
      <c r="D2" s="203"/>
      <c r="E2" s="203"/>
      <c r="F2" s="203"/>
      <c r="G2" s="203"/>
      <c r="H2" s="203"/>
      <c r="I2" s="203"/>
      <c r="J2" s="203"/>
      <c r="K2" s="203"/>
      <c r="L2" s="7"/>
      <c r="M2" s="7"/>
      <c r="N2" s="7"/>
      <c r="O2" s="7"/>
      <c r="P2" s="7"/>
      <c r="Q2" s="7"/>
      <c r="R2" s="7"/>
      <c r="S2" s="7"/>
      <c r="T2" s="7"/>
      <c r="U2" s="7"/>
    </row>
    <row r="3" spans="1:21" ht="12.5">
      <c r="A3" s="248" t="s">
        <v>397</v>
      </c>
      <c r="B3" s="203"/>
      <c r="C3" s="203"/>
      <c r="D3" s="203"/>
      <c r="E3" s="203"/>
      <c r="F3" s="203"/>
      <c r="G3" s="203"/>
      <c r="H3" s="203"/>
      <c r="I3" s="203"/>
      <c r="J3" s="203"/>
      <c r="K3" s="206"/>
      <c r="L3" s="83"/>
      <c r="M3" s="109"/>
      <c r="N3" s="109"/>
      <c r="O3" s="109"/>
      <c r="P3" s="109"/>
      <c r="Q3" s="109"/>
      <c r="R3" s="109"/>
      <c r="S3" s="109"/>
      <c r="T3" s="109"/>
      <c r="U3" s="109"/>
    </row>
    <row r="4" spans="1:21" ht="26" outlineLevel="1">
      <c r="A4" s="249" t="s">
        <v>9</v>
      </c>
      <c r="B4" s="206"/>
      <c r="C4" s="110" t="s">
        <v>10</v>
      </c>
      <c r="D4" s="110" t="s">
        <v>11</v>
      </c>
      <c r="E4" s="53" t="s">
        <v>12</v>
      </c>
      <c r="F4" s="91" t="s">
        <v>13</v>
      </c>
      <c r="G4" s="91" t="s">
        <v>14</v>
      </c>
      <c r="H4" s="111" t="str">
        <f>HYPERLINK("https://www.gctsd.k12.ar.us/images/testing/aspire_summative_assessment_overview.pdf","A")</f>
        <v>A</v>
      </c>
      <c r="I4" s="91" t="s">
        <v>16</v>
      </c>
      <c r="J4" s="91"/>
      <c r="K4" s="91" t="s">
        <v>17</v>
      </c>
      <c r="L4" s="83"/>
      <c r="M4" s="109"/>
      <c r="N4" s="109"/>
      <c r="O4" s="109"/>
      <c r="P4" s="109"/>
      <c r="Q4" s="109"/>
      <c r="R4" s="109"/>
      <c r="S4" s="109"/>
      <c r="T4" s="109"/>
      <c r="U4" s="109"/>
    </row>
    <row r="5" spans="1:21" ht="87.5" outlineLevel="1">
      <c r="A5" s="240" t="s">
        <v>18</v>
      </c>
      <c r="B5" s="244" t="s">
        <v>398</v>
      </c>
      <c r="C5" s="21">
        <f t="shared" ref="C5:C42" si="0">COUNTIF(F5:I5,TRUE)</f>
        <v>4</v>
      </c>
      <c r="D5" s="112" t="s">
        <v>399</v>
      </c>
      <c r="E5" s="83" t="s">
        <v>400</v>
      </c>
      <c r="F5" s="113" t="b">
        <v>1</v>
      </c>
      <c r="G5" s="113" t="b">
        <v>1</v>
      </c>
      <c r="H5" s="113" t="b">
        <v>1</v>
      </c>
      <c r="I5" s="113" t="b">
        <v>1</v>
      </c>
      <c r="J5" s="114"/>
      <c r="K5" s="34" t="s">
        <v>401</v>
      </c>
      <c r="L5" s="83"/>
      <c r="M5" s="109"/>
      <c r="N5" s="109"/>
      <c r="O5" s="109"/>
      <c r="P5" s="109"/>
      <c r="Q5" s="109"/>
      <c r="R5" s="109"/>
      <c r="S5" s="109"/>
      <c r="T5" s="109"/>
      <c r="U5" s="109"/>
    </row>
    <row r="6" spans="1:21" ht="62.5" outlineLevel="1">
      <c r="A6" s="210"/>
      <c r="B6" s="210"/>
      <c r="C6" s="21">
        <f t="shared" si="0"/>
        <v>3</v>
      </c>
      <c r="D6" s="115" t="s">
        <v>402</v>
      </c>
      <c r="E6" s="116" t="s">
        <v>403</v>
      </c>
      <c r="F6" s="113" t="b">
        <v>1</v>
      </c>
      <c r="G6" s="113" t="b">
        <v>1</v>
      </c>
      <c r="H6" s="113" t="b">
        <v>1</v>
      </c>
      <c r="I6" s="113" t="b">
        <v>0</v>
      </c>
      <c r="J6" s="114"/>
      <c r="K6" s="34" t="s">
        <v>404</v>
      </c>
      <c r="L6" s="83"/>
      <c r="M6" s="109"/>
      <c r="N6" s="109"/>
      <c r="O6" s="109"/>
      <c r="P6" s="109"/>
      <c r="Q6" s="109"/>
      <c r="R6" s="109"/>
      <c r="S6" s="109"/>
      <c r="T6" s="109"/>
      <c r="U6" s="109"/>
    </row>
    <row r="7" spans="1:21" ht="62.5" outlineLevel="1">
      <c r="A7" s="210"/>
      <c r="B7" s="210"/>
      <c r="C7" s="21">
        <f t="shared" si="0"/>
        <v>3</v>
      </c>
      <c r="D7" s="115" t="s">
        <v>405</v>
      </c>
      <c r="E7" s="116" t="s">
        <v>406</v>
      </c>
      <c r="F7" s="113" t="b">
        <v>1</v>
      </c>
      <c r="G7" s="113" t="b">
        <v>1</v>
      </c>
      <c r="H7" s="113" t="b">
        <v>1</v>
      </c>
      <c r="I7" s="117" t="b">
        <v>0</v>
      </c>
      <c r="J7" s="114"/>
      <c r="K7" s="34" t="s">
        <v>404</v>
      </c>
      <c r="L7" s="83"/>
      <c r="M7" s="109"/>
      <c r="N7" s="109"/>
      <c r="O7" s="109"/>
      <c r="P7" s="109"/>
      <c r="Q7" s="109"/>
      <c r="R7" s="109"/>
      <c r="S7" s="109"/>
      <c r="T7" s="109"/>
      <c r="U7" s="109"/>
    </row>
    <row r="8" spans="1:21" ht="50" outlineLevel="1">
      <c r="A8" s="210"/>
      <c r="B8" s="211"/>
      <c r="C8" s="27">
        <f t="shared" si="0"/>
        <v>2</v>
      </c>
      <c r="D8" s="118" t="s">
        <v>407</v>
      </c>
      <c r="E8" s="82" t="s">
        <v>408</v>
      </c>
      <c r="F8" s="119" t="b">
        <v>1</v>
      </c>
      <c r="G8" s="119" t="b">
        <v>1</v>
      </c>
      <c r="H8" s="120" t="b">
        <v>0</v>
      </c>
      <c r="I8" s="120" t="b">
        <v>0</v>
      </c>
      <c r="J8" s="121"/>
      <c r="K8" s="34" t="s">
        <v>409</v>
      </c>
      <c r="L8" s="83"/>
      <c r="M8" s="109"/>
      <c r="N8" s="109"/>
      <c r="O8" s="109"/>
      <c r="P8" s="109"/>
      <c r="Q8" s="109"/>
      <c r="R8" s="109"/>
      <c r="S8" s="109"/>
      <c r="T8" s="109"/>
      <c r="U8" s="109"/>
    </row>
    <row r="9" spans="1:21" ht="100" outlineLevel="1">
      <c r="A9" s="210"/>
      <c r="B9" s="234" t="s">
        <v>269</v>
      </c>
      <c r="C9" s="21">
        <f t="shared" si="0"/>
        <v>4</v>
      </c>
      <c r="D9" s="112" t="s">
        <v>410</v>
      </c>
      <c r="E9" s="83" t="s">
        <v>411</v>
      </c>
      <c r="F9" s="113" t="b">
        <v>1</v>
      </c>
      <c r="G9" s="113" t="b">
        <v>1</v>
      </c>
      <c r="H9" s="113" t="b">
        <v>1</v>
      </c>
      <c r="I9" s="113" t="b">
        <v>1</v>
      </c>
      <c r="J9" s="114"/>
      <c r="K9" s="34" t="s">
        <v>412</v>
      </c>
      <c r="L9" s="83"/>
      <c r="M9" s="109"/>
      <c r="N9" s="109"/>
      <c r="O9" s="109"/>
      <c r="P9" s="109"/>
      <c r="Q9" s="109"/>
      <c r="R9" s="109"/>
      <c r="S9" s="109"/>
      <c r="T9" s="109"/>
      <c r="U9" s="109"/>
    </row>
    <row r="10" spans="1:21" ht="100" outlineLevel="1">
      <c r="A10" s="210"/>
      <c r="B10" s="210"/>
      <c r="C10" s="21">
        <f t="shared" si="0"/>
        <v>4</v>
      </c>
      <c r="D10" s="112" t="s">
        <v>413</v>
      </c>
      <c r="E10" s="83" t="s">
        <v>414</v>
      </c>
      <c r="F10" s="113" t="b">
        <v>1</v>
      </c>
      <c r="G10" s="113" t="b">
        <v>1</v>
      </c>
      <c r="H10" s="113" t="b">
        <v>1</v>
      </c>
      <c r="I10" s="113" t="b">
        <v>1</v>
      </c>
      <c r="J10" s="114"/>
      <c r="K10" s="34" t="s">
        <v>415</v>
      </c>
      <c r="L10" s="83"/>
      <c r="M10" s="109"/>
      <c r="N10" s="109"/>
      <c r="O10" s="109"/>
      <c r="P10" s="109"/>
      <c r="Q10" s="109"/>
      <c r="R10" s="109"/>
      <c r="S10" s="109"/>
      <c r="T10" s="109"/>
      <c r="U10" s="109"/>
    </row>
    <row r="11" spans="1:21" ht="100" outlineLevel="1">
      <c r="A11" s="211"/>
      <c r="B11" s="211"/>
      <c r="C11" s="27">
        <f t="shared" si="0"/>
        <v>4</v>
      </c>
      <c r="D11" s="118" t="s">
        <v>416</v>
      </c>
      <c r="E11" s="82" t="s">
        <v>417</v>
      </c>
      <c r="F11" s="119" t="b">
        <v>1</v>
      </c>
      <c r="G11" s="119" t="b">
        <v>1</v>
      </c>
      <c r="H11" s="119" t="b">
        <v>1</v>
      </c>
      <c r="I11" s="119" t="b">
        <v>1</v>
      </c>
      <c r="J11" s="121"/>
      <c r="K11" s="34" t="s">
        <v>418</v>
      </c>
      <c r="L11" s="116" t="s">
        <v>419</v>
      </c>
      <c r="M11" s="109"/>
      <c r="N11" s="109"/>
      <c r="O11" s="109"/>
      <c r="P11" s="109"/>
      <c r="Q11" s="109"/>
      <c r="R11" s="109"/>
      <c r="S11" s="109"/>
      <c r="T11" s="109"/>
      <c r="U11" s="109"/>
    </row>
    <row r="12" spans="1:21" ht="62.5" outlineLevel="1">
      <c r="A12" s="209" t="s">
        <v>23</v>
      </c>
      <c r="B12" s="228" t="s">
        <v>420</v>
      </c>
      <c r="C12" s="21">
        <f t="shared" si="0"/>
        <v>2</v>
      </c>
      <c r="D12" s="112" t="s">
        <v>421</v>
      </c>
      <c r="E12" s="83" t="s">
        <v>422</v>
      </c>
      <c r="F12" s="113" t="b">
        <v>1</v>
      </c>
      <c r="G12" s="113" t="b">
        <v>1</v>
      </c>
      <c r="H12" s="113" t="b">
        <v>0</v>
      </c>
      <c r="I12" s="117" t="b">
        <v>0</v>
      </c>
      <c r="J12" s="114"/>
      <c r="K12" s="34" t="s">
        <v>423</v>
      </c>
      <c r="L12" s="83"/>
      <c r="M12" s="109"/>
      <c r="N12" s="109"/>
      <c r="O12" s="109"/>
      <c r="P12" s="109"/>
      <c r="Q12" s="109"/>
      <c r="R12" s="109"/>
      <c r="S12" s="109"/>
      <c r="T12" s="109"/>
      <c r="U12" s="109"/>
    </row>
    <row r="13" spans="1:21" ht="62.5" outlineLevel="1">
      <c r="A13" s="210"/>
      <c r="B13" s="210"/>
      <c r="C13" s="21">
        <f t="shared" si="0"/>
        <v>3</v>
      </c>
      <c r="D13" s="112" t="s">
        <v>424</v>
      </c>
      <c r="E13" s="83" t="s">
        <v>425</v>
      </c>
      <c r="F13" s="113" t="b">
        <v>1</v>
      </c>
      <c r="G13" s="113" t="b">
        <v>1</v>
      </c>
      <c r="H13" s="113" t="b">
        <v>1</v>
      </c>
      <c r="I13" s="113" t="b">
        <v>0</v>
      </c>
      <c r="J13" s="114"/>
      <c r="K13" s="34" t="s">
        <v>426</v>
      </c>
      <c r="L13" s="83"/>
      <c r="M13" s="109"/>
      <c r="N13" s="109"/>
      <c r="O13" s="109"/>
      <c r="P13" s="109"/>
      <c r="Q13" s="109"/>
      <c r="R13" s="109"/>
      <c r="S13" s="109"/>
      <c r="T13" s="109"/>
      <c r="U13" s="109"/>
    </row>
    <row r="14" spans="1:21" ht="87.5" outlineLevel="1">
      <c r="A14" s="210"/>
      <c r="B14" s="211"/>
      <c r="C14" s="27">
        <f t="shared" si="0"/>
        <v>3</v>
      </c>
      <c r="D14" s="118" t="s">
        <v>427</v>
      </c>
      <c r="E14" s="82" t="s">
        <v>428</v>
      </c>
      <c r="F14" s="119" t="b">
        <v>1</v>
      </c>
      <c r="G14" s="119" t="b">
        <v>1</v>
      </c>
      <c r="H14" s="119" t="b">
        <v>1</v>
      </c>
      <c r="I14" s="119" t="b">
        <v>0</v>
      </c>
      <c r="J14" s="121"/>
      <c r="K14" s="34" t="s">
        <v>429</v>
      </c>
      <c r="L14" s="83"/>
      <c r="M14" s="109"/>
      <c r="N14" s="109"/>
      <c r="O14" s="109"/>
      <c r="P14" s="109"/>
      <c r="Q14" s="109"/>
      <c r="R14" s="109"/>
      <c r="S14" s="109"/>
      <c r="T14" s="109"/>
      <c r="U14" s="109"/>
    </row>
    <row r="15" spans="1:21" ht="100" outlineLevel="1">
      <c r="A15" s="210"/>
      <c r="B15" s="85" t="s">
        <v>430</v>
      </c>
      <c r="C15" s="27">
        <f t="shared" si="0"/>
        <v>4</v>
      </c>
      <c r="D15" s="118" t="s">
        <v>431</v>
      </c>
      <c r="E15" s="82" t="s">
        <v>432</v>
      </c>
      <c r="F15" s="119" t="b">
        <v>1</v>
      </c>
      <c r="G15" s="119" t="b">
        <v>1</v>
      </c>
      <c r="H15" s="119" t="b">
        <v>1</v>
      </c>
      <c r="I15" s="119" t="b">
        <v>1</v>
      </c>
      <c r="J15" s="121"/>
      <c r="K15" s="34" t="s">
        <v>433</v>
      </c>
      <c r="L15" s="83"/>
      <c r="M15" s="109"/>
      <c r="N15" s="109"/>
      <c r="O15" s="109"/>
      <c r="P15" s="109"/>
      <c r="Q15" s="109"/>
      <c r="R15" s="109"/>
      <c r="S15" s="109"/>
      <c r="T15" s="109"/>
      <c r="U15" s="109"/>
    </row>
    <row r="16" spans="1:21" ht="87.5" outlineLevel="1">
      <c r="A16" s="211"/>
      <c r="B16" s="101" t="s">
        <v>434</v>
      </c>
      <c r="C16" s="27">
        <f t="shared" si="0"/>
        <v>2</v>
      </c>
      <c r="D16" s="118" t="s">
        <v>435</v>
      </c>
      <c r="E16" s="82" t="s">
        <v>436</v>
      </c>
      <c r="F16" s="119" t="b">
        <v>1</v>
      </c>
      <c r="G16" s="119" t="b">
        <v>1</v>
      </c>
      <c r="H16" s="119" t="b">
        <v>0</v>
      </c>
      <c r="I16" s="120" t="b">
        <v>0</v>
      </c>
      <c r="J16" s="121"/>
      <c r="K16" s="34" t="s">
        <v>437</v>
      </c>
      <c r="L16" s="83"/>
      <c r="M16" s="109"/>
      <c r="N16" s="109"/>
      <c r="O16" s="109"/>
      <c r="P16" s="109"/>
      <c r="Q16" s="109"/>
      <c r="R16" s="109"/>
      <c r="S16" s="109"/>
      <c r="T16" s="109"/>
      <c r="U16" s="109"/>
    </row>
    <row r="17" spans="1:21" ht="62.5" outlineLevel="1">
      <c r="A17" s="215" t="s">
        <v>39</v>
      </c>
      <c r="B17" s="220" t="s">
        <v>167</v>
      </c>
      <c r="C17" s="21">
        <f t="shared" si="0"/>
        <v>2</v>
      </c>
      <c r="D17" s="112" t="s">
        <v>438</v>
      </c>
      <c r="E17" s="83" t="s">
        <v>439</v>
      </c>
      <c r="F17" s="113" t="b">
        <v>1</v>
      </c>
      <c r="G17" s="113" t="b">
        <v>1</v>
      </c>
      <c r="H17" s="113" t="b">
        <v>0</v>
      </c>
      <c r="I17" s="113" t="b">
        <v>0</v>
      </c>
      <c r="J17" s="114"/>
      <c r="K17" s="34" t="s">
        <v>440</v>
      </c>
      <c r="L17" s="83"/>
      <c r="M17" s="109"/>
      <c r="N17" s="109"/>
      <c r="O17" s="109"/>
      <c r="P17" s="109"/>
      <c r="Q17" s="109"/>
      <c r="R17" s="109"/>
      <c r="S17" s="109"/>
      <c r="T17" s="109"/>
      <c r="U17" s="109"/>
    </row>
    <row r="18" spans="1:21" ht="75" outlineLevel="1">
      <c r="A18" s="210"/>
      <c r="B18" s="210"/>
      <c r="C18" s="21">
        <f t="shared" si="0"/>
        <v>3</v>
      </c>
      <c r="D18" s="115" t="s">
        <v>441</v>
      </c>
      <c r="E18" s="83" t="s">
        <v>442</v>
      </c>
      <c r="F18" s="113" t="b">
        <v>1</v>
      </c>
      <c r="G18" s="113" t="b">
        <v>1</v>
      </c>
      <c r="H18" s="113" t="b">
        <v>1</v>
      </c>
      <c r="I18" s="113" t="b">
        <v>0</v>
      </c>
      <c r="J18" s="114"/>
      <c r="K18" s="34" t="s">
        <v>443</v>
      </c>
      <c r="L18" s="83"/>
      <c r="M18" s="109"/>
      <c r="N18" s="109"/>
      <c r="O18" s="109"/>
      <c r="P18" s="109"/>
      <c r="Q18" s="109"/>
      <c r="R18" s="109"/>
      <c r="S18" s="109"/>
      <c r="T18" s="109"/>
      <c r="U18" s="109"/>
    </row>
    <row r="19" spans="1:21" ht="75" outlineLevel="1">
      <c r="A19" s="211"/>
      <c r="B19" s="211"/>
      <c r="C19" s="27">
        <f t="shared" si="0"/>
        <v>3</v>
      </c>
      <c r="D19" s="118" t="s">
        <v>444</v>
      </c>
      <c r="E19" s="82" t="s">
        <v>445</v>
      </c>
      <c r="F19" s="119" t="b">
        <v>1</v>
      </c>
      <c r="G19" s="119" t="b">
        <v>1</v>
      </c>
      <c r="H19" s="119" t="b">
        <v>1</v>
      </c>
      <c r="I19" s="119" t="b">
        <v>0</v>
      </c>
      <c r="J19" s="121"/>
      <c r="K19" s="34" t="s">
        <v>443</v>
      </c>
      <c r="L19" s="83"/>
      <c r="M19" s="109"/>
      <c r="N19" s="109"/>
      <c r="O19" s="109"/>
      <c r="P19" s="109"/>
      <c r="Q19" s="109"/>
      <c r="R19" s="109"/>
      <c r="S19" s="109"/>
      <c r="T19" s="109"/>
      <c r="U19" s="109"/>
    </row>
    <row r="20" spans="1:21" ht="112.5" outlineLevel="1">
      <c r="A20" s="222" t="s">
        <v>57</v>
      </c>
      <c r="B20" s="243" t="s">
        <v>446</v>
      </c>
      <c r="C20" s="21">
        <f t="shared" si="0"/>
        <v>4</v>
      </c>
      <c r="D20" s="112" t="s">
        <v>447</v>
      </c>
      <c r="E20" s="83" t="s">
        <v>448</v>
      </c>
      <c r="F20" s="113" t="b">
        <v>1</v>
      </c>
      <c r="G20" s="113" t="b">
        <v>1</v>
      </c>
      <c r="H20" s="113" t="b">
        <v>1</v>
      </c>
      <c r="I20" s="113" t="b">
        <v>1</v>
      </c>
      <c r="J20" s="114"/>
      <c r="K20" s="34" t="s">
        <v>449</v>
      </c>
      <c r="L20" s="83"/>
      <c r="M20" s="109"/>
      <c r="N20" s="109"/>
      <c r="O20" s="109"/>
      <c r="P20" s="109"/>
      <c r="Q20" s="109"/>
      <c r="R20" s="109"/>
      <c r="S20" s="109"/>
      <c r="T20" s="109"/>
      <c r="U20" s="109"/>
    </row>
    <row r="21" spans="1:21" ht="87.5" outlineLevel="1">
      <c r="A21" s="210"/>
      <c r="B21" s="210"/>
      <c r="C21" s="21">
        <f t="shared" si="0"/>
        <v>3</v>
      </c>
      <c r="D21" s="112" t="s">
        <v>450</v>
      </c>
      <c r="E21" s="83" t="s">
        <v>451</v>
      </c>
      <c r="F21" s="113" t="b">
        <v>1</v>
      </c>
      <c r="G21" s="113" t="b">
        <v>1</v>
      </c>
      <c r="H21" s="113" t="b">
        <v>1</v>
      </c>
      <c r="I21" s="113" t="b">
        <v>0</v>
      </c>
      <c r="J21" s="114"/>
      <c r="K21" s="34" t="s">
        <v>452</v>
      </c>
      <c r="L21" s="83"/>
      <c r="M21" s="109"/>
      <c r="N21" s="109"/>
      <c r="O21" s="109"/>
      <c r="P21" s="109"/>
      <c r="Q21" s="109"/>
      <c r="R21" s="109"/>
      <c r="S21" s="109"/>
      <c r="T21" s="109"/>
      <c r="U21" s="109"/>
    </row>
    <row r="22" spans="1:21" ht="125" outlineLevel="1">
      <c r="A22" s="210"/>
      <c r="B22" s="211"/>
      <c r="C22" s="27">
        <f t="shared" si="0"/>
        <v>4</v>
      </c>
      <c r="D22" s="118" t="s">
        <v>453</v>
      </c>
      <c r="E22" s="82" t="s">
        <v>454</v>
      </c>
      <c r="F22" s="119" t="b">
        <v>1</v>
      </c>
      <c r="G22" s="119" t="b">
        <v>1</v>
      </c>
      <c r="H22" s="119" t="b">
        <v>1</v>
      </c>
      <c r="I22" s="119" t="b">
        <v>1</v>
      </c>
      <c r="J22" s="121"/>
      <c r="K22" s="34" t="s">
        <v>455</v>
      </c>
      <c r="L22" s="83"/>
      <c r="M22" s="109"/>
      <c r="N22" s="109"/>
      <c r="O22" s="109"/>
      <c r="P22" s="109"/>
      <c r="Q22" s="109"/>
      <c r="R22" s="109"/>
      <c r="S22" s="109"/>
      <c r="T22" s="109"/>
      <c r="U22" s="109"/>
    </row>
    <row r="23" spans="1:21" ht="75" outlineLevel="1">
      <c r="A23" s="210"/>
      <c r="B23" s="122" t="s">
        <v>188</v>
      </c>
      <c r="C23" s="27">
        <f t="shared" si="0"/>
        <v>1</v>
      </c>
      <c r="D23" s="118" t="s">
        <v>456</v>
      </c>
      <c r="E23" s="82" t="s">
        <v>457</v>
      </c>
      <c r="F23" s="119" t="b">
        <v>1</v>
      </c>
      <c r="G23" s="119" t="b">
        <v>0</v>
      </c>
      <c r="H23" s="119" t="b">
        <v>0</v>
      </c>
      <c r="I23" s="119" t="b">
        <v>0</v>
      </c>
      <c r="J23" s="121"/>
      <c r="K23" s="34" t="s">
        <v>458</v>
      </c>
      <c r="L23" s="83"/>
      <c r="M23" s="109"/>
      <c r="N23" s="109"/>
      <c r="O23" s="109"/>
      <c r="P23" s="109"/>
      <c r="Q23" s="109"/>
      <c r="R23" s="109"/>
      <c r="S23" s="109"/>
      <c r="T23" s="109"/>
      <c r="U23" s="109"/>
    </row>
    <row r="24" spans="1:21" ht="50" outlineLevel="1">
      <c r="A24" s="210"/>
      <c r="B24" s="241" t="s">
        <v>459</v>
      </c>
      <c r="C24" s="21">
        <f t="shared" si="0"/>
        <v>1</v>
      </c>
      <c r="D24" s="112" t="s">
        <v>460</v>
      </c>
      <c r="E24" s="83" t="s">
        <v>461</v>
      </c>
      <c r="F24" s="113" t="b">
        <v>1</v>
      </c>
      <c r="G24" s="113" t="b">
        <v>0</v>
      </c>
      <c r="H24" s="113" t="b">
        <v>0</v>
      </c>
      <c r="I24" s="117" t="b">
        <v>0</v>
      </c>
      <c r="J24" s="114"/>
      <c r="K24" s="34" t="s">
        <v>462</v>
      </c>
      <c r="L24" s="83"/>
      <c r="M24" s="109"/>
      <c r="N24" s="109"/>
      <c r="O24" s="109"/>
      <c r="P24" s="109"/>
      <c r="Q24" s="109"/>
      <c r="R24" s="109"/>
      <c r="S24" s="109"/>
      <c r="T24" s="109"/>
      <c r="U24" s="109"/>
    </row>
    <row r="25" spans="1:21" ht="75" outlineLevel="1">
      <c r="A25" s="210"/>
      <c r="B25" s="210"/>
      <c r="C25" s="21">
        <f t="shared" si="0"/>
        <v>1</v>
      </c>
      <c r="D25" s="112" t="s">
        <v>463</v>
      </c>
      <c r="E25" s="83" t="s">
        <v>464</v>
      </c>
      <c r="F25" s="113" t="b">
        <v>1</v>
      </c>
      <c r="G25" s="113" t="b">
        <v>0</v>
      </c>
      <c r="H25" s="113" t="b">
        <v>0</v>
      </c>
      <c r="I25" s="117" t="b">
        <v>0</v>
      </c>
      <c r="J25" s="34"/>
      <c r="K25" s="34" t="s">
        <v>465</v>
      </c>
      <c r="L25" s="83"/>
      <c r="M25" s="109"/>
      <c r="N25" s="109"/>
      <c r="O25" s="109"/>
      <c r="P25" s="109"/>
      <c r="Q25" s="109"/>
      <c r="R25" s="109"/>
      <c r="S25" s="109"/>
      <c r="T25" s="109"/>
      <c r="U25" s="109"/>
    </row>
    <row r="26" spans="1:21" ht="37.5" outlineLevel="1">
      <c r="A26" s="210"/>
      <c r="B26" s="210"/>
      <c r="C26" s="21">
        <f t="shared" si="0"/>
        <v>1</v>
      </c>
      <c r="D26" s="112" t="s">
        <v>466</v>
      </c>
      <c r="E26" s="83" t="s">
        <v>467</v>
      </c>
      <c r="F26" s="113" t="b">
        <v>1</v>
      </c>
      <c r="G26" s="113" t="b">
        <v>0</v>
      </c>
      <c r="H26" s="113" t="b">
        <v>0</v>
      </c>
      <c r="I26" s="117" t="b">
        <v>0</v>
      </c>
      <c r="J26" s="114"/>
      <c r="K26" s="34" t="s">
        <v>465</v>
      </c>
      <c r="L26" s="83"/>
      <c r="M26" s="109"/>
      <c r="N26" s="109"/>
      <c r="O26" s="109"/>
      <c r="P26" s="109"/>
      <c r="Q26" s="109"/>
      <c r="R26" s="109"/>
      <c r="S26" s="109"/>
      <c r="T26" s="109"/>
      <c r="U26" s="109"/>
    </row>
    <row r="27" spans="1:21" ht="37.5" outlineLevel="1">
      <c r="A27" s="210"/>
      <c r="B27" s="210"/>
      <c r="C27" s="21">
        <f t="shared" si="0"/>
        <v>1</v>
      </c>
      <c r="D27" s="112" t="s">
        <v>468</v>
      </c>
      <c r="E27" s="83" t="s">
        <v>469</v>
      </c>
      <c r="F27" s="113" t="b">
        <v>1</v>
      </c>
      <c r="G27" s="113" t="b">
        <v>0</v>
      </c>
      <c r="H27" s="113" t="b">
        <v>0</v>
      </c>
      <c r="I27" s="113" t="b">
        <v>0</v>
      </c>
      <c r="J27" s="114"/>
      <c r="K27" s="34" t="s">
        <v>465</v>
      </c>
      <c r="L27" s="83"/>
      <c r="M27" s="109"/>
      <c r="N27" s="109"/>
      <c r="O27" s="109"/>
      <c r="P27" s="109"/>
      <c r="Q27" s="109"/>
      <c r="R27" s="109"/>
      <c r="S27" s="109"/>
      <c r="T27" s="109"/>
      <c r="U27" s="109"/>
    </row>
    <row r="28" spans="1:21" ht="87.5" outlineLevel="1">
      <c r="A28" s="211"/>
      <c r="B28" s="211"/>
      <c r="C28" s="27">
        <f t="shared" si="0"/>
        <v>4</v>
      </c>
      <c r="D28" s="118" t="s">
        <v>470</v>
      </c>
      <c r="E28" s="82" t="s">
        <v>471</v>
      </c>
      <c r="F28" s="119" t="b">
        <v>1</v>
      </c>
      <c r="G28" s="119" t="b">
        <v>1</v>
      </c>
      <c r="H28" s="119" t="b">
        <v>1</v>
      </c>
      <c r="I28" s="119" t="b">
        <v>1</v>
      </c>
      <c r="J28" s="121"/>
      <c r="K28" s="34" t="s">
        <v>472</v>
      </c>
      <c r="L28" s="83"/>
      <c r="M28" s="109"/>
      <c r="N28" s="109"/>
      <c r="O28" s="109"/>
      <c r="P28" s="109"/>
      <c r="Q28" s="109"/>
      <c r="R28" s="109"/>
      <c r="S28" s="109"/>
      <c r="T28" s="109"/>
      <c r="U28" s="109"/>
    </row>
    <row r="29" spans="1:21" ht="100" outlineLevel="1">
      <c r="A29" s="247" t="s">
        <v>368</v>
      </c>
      <c r="B29" s="246" t="s">
        <v>473</v>
      </c>
      <c r="C29" s="21">
        <f t="shared" si="0"/>
        <v>4</v>
      </c>
      <c r="D29" s="112" t="s">
        <v>474</v>
      </c>
      <c r="E29" s="83" t="s">
        <v>475</v>
      </c>
      <c r="F29" s="113" t="b">
        <v>1</v>
      </c>
      <c r="G29" s="113" t="b">
        <v>1</v>
      </c>
      <c r="H29" s="113" t="b">
        <v>1</v>
      </c>
      <c r="I29" s="113" t="b">
        <v>1</v>
      </c>
      <c r="J29" s="114"/>
      <c r="K29" s="34" t="s">
        <v>476</v>
      </c>
      <c r="L29" s="83"/>
      <c r="M29" s="109"/>
      <c r="N29" s="109"/>
      <c r="O29" s="109"/>
      <c r="P29" s="109"/>
      <c r="Q29" s="109"/>
      <c r="R29" s="109"/>
      <c r="S29" s="109"/>
      <c r="T29" s="109"/>
      <c r="U29" s="109"/>
    </row>
    <row r="30" spans="1:21" ht="100" outlineLevel="1">
      <c r="A30" s="210"/>
      <c r="B30" s="211"/>
      <c r="C30" s="27">
        <f t="shared" si="0"/>
        <v>3</v>
      </c>
      <c r="D30" s="118" t="s">
        <v>477</v>
      </c>
      <c r="E30" s="82" t="s">
        <v>478</v>
      </c>
      <c r="F30" s="119" t="b">
        <v>1</v>
      </c>
      <c r="G30" s="119" t="b">
        <v>1</v>
      </c>
      <c r="H30" s="119" t="b">
        <v>1</v>
      </c>
      <c r="I30" s="119" t="b">
        <v>0</v>
      </c>
      <c r="J30" s="121"/>
      <c r="K30" s="34" t="s">
        <v>479</v>
      </c>
      <c r="L30" s="83"/>
      <c r="M30" s="109"/>
      <c r="N30" s="109"/>
      <c r="O30" s="109"/>
      <c r="P30" s="109"/>
      <c r="Q30" s="109"/>
      <c r="R30" s="109"/>
      <c r="S30" s="109"/>
      <c r="T30" s="109"/>
      <c r="U30" s="109"/>
    </row>
    <row r="31" spans="1:21" ht="25" outlineLevel="1">
      <c r="A31" s="210"/>
      <c r="B31" s="250" t="s">
        <v>480</v>
      </c>
      <c r="C31" s="21">
        <f t="shared" si="0"/>
        <v>4</v>
      </c>
      <c r="D31" s="112" t="s">
        <v>481</v>
      </c>
      <c r="E31" s="83" t="s">
        <v>482</v>
      </c>
      <c r="F31" s="113" t="b">
        <v>1</v>
      </c>
      <c r="G31" s="113" t="b">
        <v>1</v>
      </c>
      <c r="H31" s="113" t="b">
        <v>1</v>
      </c>
      <c r="I31" s="113" t="b">
        <v>1</v>
      </c>
      <c r="J31" s="114"/>
      <c r="K31" s="34" t="s">
        <v>483</v>
      </c>
      <c r="L31" s="83"/>
      <c r="M31" s="109"/>
      <c r="N31" s="109"/>
      <c r="O31" s="109"/>
      <c r="P31" s="109"/>
      <c r="Q31" s="109"/>
      <c r="R31" s="109"/>
      <c r="S31" s="109"/>
      <c r="T31" s="109"/>
      <c r="U31" s="109"/>
    </row>
    <row r="32" spans="1:21" ht="62.5" outlineLevel="1">
      <c r="A32" s="210"/>
      <c r="B32" s="210"/>
      <c r="C32" s="21">
        <f t="shared" si="0"/>
        <v>3</v>
      </c>
      <c r="D32" s="112" t="s">
        <v>484</v>
      </c>
      <c r="E32" s="83" t="s">
        <v>485</v>
      </c>
      <c r="F32" s="113" t="b">
        <v>1</v>
      </c>
      <c r="G32" s="113" t="b">
        <v>1</v>
      </c>
      <c r="H32" s="113" t="b">
        <v>1</v>
      </c>
      <c r="I32" s="113" t="b">
        <v>0</v>
      </c>
      <c r="J32" s="114"/>
      <c r="K32" s="34" t="s">
        <v>486</v>
      </c>
      <c r="L32" s="83"/>
      <c r="M32" s="109"/>
      <c r="N32" s="109"/>
      <c r="O32" s="109"/>
      <c r="P32" s="109"/>
      <c r="Q32" s="109"/>
      <c r="R32" s="109"/>
      <c r="S32" s="109"/>
      <c r="T32" s="109"/>
      <c r="U32" s="109"/>
    </row>
    <row r="33" spans="1:21" ht="62.5" outlineLevel="1">
      <c r="A33" s="210"/>
      <c r="B33" s="210"/>
      <c r="C33" s="21">
        <f t="shared" si="0"/>
        <v>1</v>
      </c>
      <c r="D33" s="112" t="s">
        <v>487</v>
      </c>
      <c r="E33" s="83" t="s">
        <v>488</v>
      </c>
      <c r="F33" s="113" t="b">
        <v>1</v>
      </c>
      <c r="G33" s="113" t="b">
        <v>0</v>
      </c>
      <c r="H33" s="113" t="b">
        <v>0</v>
      </c>
      <c r="I33" s="113" t="b">
        <v>0</v>
      </c>
      <c r="J33" s="114"/>
      <c r="K33" s="34" t="s">
        <v>483</v>
      </c>
      <c r="L33" s="83"/>
      <c r="M33" s="109"/>
      <c r="N33" s="109"/>
      <c r="O33" s="109"/>
      <c r="P33" s="109"/>
      <c r="Q33" s="109"/>
      <c r="R33" s="109"/>
      <c r="S33" s="109"/>
      <c r="T33" s="109"/>
      <c r="U33" s="109"/>
    </row>
    <row r="34" spans="1:21" ht="75" outlineLevel="1">
      <c r="A34" s="210"/>
      <c r="B34" s="210"/>
      <c r="C34" s="21">
        <f t="shared" si="0"/>
        <v>3</v>
      </c>
      <c r="D34" s="112" t="s">
        <v>489</v>
      </c>
      <c r="E34" s="83" t="s">
        <v>490</v>
      </c>
      <c r="F34" s="113" t="b">
        <v>1</v>
      </c>
      <c r="G34" s="113" t="b">
        <v>1</v>
      </c>
      <c r="H34" s="113" t="b">
        <v>1</v>
      </c>
      <c r="I34" s="113" t="b">
        <v>0</v>
      </c>
      <c r="J34" s="114"/>
      <c r="K34" s="34" t="s">
        <v>479</v>
      </c>
      <c r="L34" s="83"/>
      <c r="M34" s="109"/>
      <c r="N34" s="109"/>
      <c r="O34" s="109"/>
      <c r="P34" s="109"/>
      <c r="Q34" s="109"/>
      <c r="R34" s="109"/>
      <c r="S34" s="109"/>
      <c r="T34" s="109"/>
      <c r="U34" s="109"/>
    </row>
    <row r="35" spans="1:21" ht="75" outlineLevel="1">
      <c r="A35" s="210"/>
      <c r="B35" s="210"/>
      <c r="C35" s="21">
        <f t="shared" si="0"/>
        <v>3</v>
      </c>
      <c r="D35" s="112" t="s">
        <v>491</v>
      </c>
      <c r="E35" s="83" t="s">
        <v>492</v>
      </c>
      <c r="F35" s="113" t="b">
        <v>1</v>
      </c>
      <c r="G35" s="113" t="b">
        <v>1</v>
      </c>
      <c r="H35" s="113" t="b">
        <v>1</v>
      </c>
      <c r="I35" s="117" t="b">
        <v>0</v>
      </c>
      <c r="J35" s="114"/>
      <c r="K35" s="34" t="s">
        <v>479</v>
      </c>
      <c r="L35" s="83"/>
      <c r="M35" s="109"/>
      <c r="N35" s="109"/>
      <c r="O35" s="109"/>
      <c r="P35" s="109"/>
      <c r="Q35" s="109"/>
      <c r="R35" s="109"/>
      <c r="S35" s="109"/>
      <c r="T35" s="109"/>
      <c r="U35" s="109"/>
    </row>
    <row r="36" spans="1:21" ht="75" outlineLevel="1">
      <c r="A36" s="210"/>
      <c r="B36" s="210"/>
      <c r="C36" s="21">
        <f t="shared" si="0"/>
        <v>3</v>
      </c>
      <c r="D36" s="112" t="s">
        <v>493</v>
      </c>
      <c r="E36" s="83" t="s">
        <v>494</v>
      </c>
      <c r="F36" s="113" t="b">
        <v>1</v>
      </c>
      <c r="G36" s="113" t="b">
        <v>1</v>
      </c>
      <c r="H36" s="113" t="b">
        <v>1</v>
      </c>
      <c r="I36" s="113" t="b">
        <v>0</v>
      </c>
      <c r="J36" s="114"/>
      <c r="K36" s="34" t="s">
        <v>479</v>
      </c>
      <c r="L36" s="83"/>
      <c r="M36" s="109"/>
      <c r="N36" s="109"/>
      <c r="O36" s="109"/>
      <c r="P36" s="109"/>
      <c r="Q36" s="109"/>
      <c r="R36" s="109"/>
      <c r="S36" s="109"/>
      <c r="T36" s="109"/>
      <c r="U36" s="109"/>
    </row>
    <row r="37" spans="1:21" ht="75" outlineLevel="1">
      <c r="A37" s="210"/>
      <c r="B37" s="210"/>
      <c r="C37" s="21">
        <f t="shared" si="0"/>
        <v>3</v>
      </c>
      <c r="D37" s="112" t="s">
        <v>495</v>
      </c>
      <c r="E37" s="83" t="s">
        <v>496</v>
      </c>
      <c r="F37" s="113" t="b">
        <v>1</v>
      </c>
      <c r="G37" s="113" t="b">
        <v>1</v>
      </c>
      <c r="H37" s="113" t="b">
        <v>1</v>
      </c>
      <c r="I37" s="113" t="b">
        <v>0</v>
      </c>
      <c r="J37" s="114"/>
      <c r="K37" s="34" t="s">
        <v>479</v>
      </c>
      <c r="L37" s="83"/>
      <c r="M37" s="109"/>
      <c r="N37" s="109"/>
      <c r="O37" s="109"/>
      <c r="P37" s="109"/>
      <c r="Q37" s="109"/>
      <c r="R37" s="109"/>
      <c r="S37" s="109"/>
      <c r="T37" s="109"/>
      <c r="U37" s="109"/>
    </row>
    <row r="38" spans="1:21" ht="75" outlineLevel="1">
      <c r="A38" s="210"/>
      <c r="B38" s="210"/>
      <c r="C38" s="21">
        <f t="shared" si="0"/>
        <v>3</v>
      </c>
      <c r="D38" s="112" t="s">
        <v>497</v>
      </c>
      <c r="E38" s="83" t="s">
        <v>498</v>
      </c>
      <c r="F38" s="113" t="b">
        <v>1</v>
      </c>
      <c r="G38" s="113" t="b">
        <v>1</v>
      </c>
      <c r="H38" s="113" t="b">
        <v>1</v>
      </c>
      <c r="I38" s="117" t="b">
        <v>0</v>
      </c>
      <c r="J38" s="114"/>
      <c r="K38" s="34" t="s">
        <v>479</v>
      </c>
      <c r="L38" s="83"/>
      <c r="M38" s="109"/>
      <c r="N38" s="109"/>
      <c r="O38" s="109"/>
      <c r="P38" s="109"/>
      <c r="Q38" s="109"/>
      <c r="R38" s="109"/>
      <c r="S38" s="109"/>
      <c r="T38" s="109"/>
      <c r="U38" s="109"/>
    </row>
    <row r="39" spans="1:21" ht="87.5" outlineLevel="1">
      <c r="A39" s="210"/>
      <c r="B39" s="211"/>
      <c r="C39" s="27">
        <f t="shared" si="0"/>
        <v>3</v>
      </c>
      <c r="D39" s="118" t="s">
        <v>499</v>
      </c>
      <c r="E39" s="82" t="s">
        <v>500</v>
      </c>
      <c r="F39" s="119" t="b">
        <v>1</v>
      </c>
      <c r="G39" s="119" t="b">
        <v>1</v>
      </c>
      <c r="H39" s="119" t="b">
        <v>1</v>
      </c>
      <c r="I39" s="119" t="b">
        <v>0</v>
      </c>
      <c r="J39" s="121"/>
      <c r="K39" s="34" t="s">
        <v>479</v>
      </c>
      <c r="L39" s="83"/>
      <c r="M39" s="109"/>
      <c r="N39" s="109"/>
      <c r="O39" s="109"/>
      <c r="P39" s="109"/>
      <c r="Q39" s="109"/>
      <c r="R39" s="109"/>
      <c r="S39" s="109"/>
      <c r="T39" s="109"/>
      <c r="U39" s="109"/>
    </row>
    <row r="40" spans="1:21" ht="87.5" outlineLevel="1">
      <c r="A40" s="210"/>
      <c r="B40" s="251" t="s">
        <v>501</v>
      </c>
      <c r="C40" s="21">
        <f t="shared" si="0"/>
        <v>3</v>
      </c>
      <c r="D40" s="112" t="s">
        <v>502</v>
      </c>
      <c r="E40" s="83" t="s">
        <v>503</v>
      </c>
      <c r="F40" s="113" t="b">
        <v>1</v>
      </c>
      <c r="G40" s="113" t="b">
        <v>1</v>
      </c>
      <c r="H40" s="113" t="b">
        <v>1</v>
      </c>
      <c r="I40" s="113" t="b">
        <v>0</v>
      </c>
      <c r="J40" s="114"/>
      <c r="K40" s="34" t="s">
        <v>504</v>
      </c>
      <c r="L40" s="83"/>
      <c r="M40" s="109"/>
      <c r="N40" s="109"/>
      <c r="O40" s="109"/>
      <c r="P40" s="109"/>
      <c r="Q40" s="109"/>
      <c r="R40" s="109"/>
      <c r="S40" s="109"/>
      <c r="T40" s="109"/>
      <c r="U40" s="109"/>
    </row>
    <row r="41" spans="1:21" ht="50" outlineLevel="1">
      <c r="A41" s="210"/>
      <c r="B41" s="210"/>
      <c r="C41" s="21">
        <f t="shared" si="0"/>
        <v>3</v>
      </c>
      <c r="D41" s="112" t="s">
        <v>505</v>
      </c>
      <c r="E41" s="83" t="s">
        <v>506</v>
      </c>
      <c r="F41" s="113" t="b">
        <v>1</v>
      </c>
      <c r="G41" s="113" t="b">
        <v>1</v>
      </c>
      <c r="H41" s="113" t="b">
        <v>1</v>
      </c>
      <c r="I41" s="113" t="b">
        <v>0</v>
      </c>
      <c r="J41" s="114"/>
      <c r="K41" s="34" t="s">
        <v>507</v>
      </c>
      <c r="L41" s="83"/>
      <c r="M41" s="109"/>
      <c r="N41" s="109"/>
      <c r="O41" s="109"/>
      <c r="P41" s="109"/>
      <c r="Q41" s="109"/>
      <c r="R41" s="109"/>
      <c r="S41" s="109"/>
      <c r="T41" s="109"/>
      <c r="U41" s="109"/>
    </row>
    <row r="42" spans="1:21" ht="62.5" outlineLevel="1">
      <c r="A42" s="211"/>
      <c r="B42" s="211"/>
      <c r="C42" s="21">
        <f t="shared" si="0"/>
        <v>3</v>
      </c>
      <c r="D42" s="118" t="s">
        <v>508</v>
      </c>
      <c r="E42" s="82" t="s">
        <v>509</v>
      </c>
      <c r="F42" s="119" t="b">
        <v>1</v>
      </c>
      <c r="G42" s="119" t="b">
        <v>1</v>
      </c>
      <c r="H42" s="119" t="b">
        <v>1</v>
      </c>
      <c r="I42" s="119" t="b">
        <v>0</v>
      </c>
      <c r="J42" s="121"/>
      <c r="K42" s="34" t="s">
        <v>507</v>
      </c>
      <c r="L42" s="83"/>
      <c r="M42" s="109"/>
      <c r="N42" s="109"/>
      <c r="O42" s="109"/>
      <c r="P42" s="109"/>
      <c r="Q42" s="109"/>
      <c r="R42" s="109"/>
      <c r="S42" s="109"/>
      <c r="T42" s="109"/>
      <c r="U42" s="109"/>
    </row>
    <row r="43" spans="1:21" ht="12.5">
      <c r="A43" s="36"/>
      <c r="B43" s="36"/>
      <c r="C43" s="36"/>
      <c r="D43" s="36"/>
      <c r="E43" s="36"/>
      <c r="F43" s="36"/>
      <c r="G43" s="36"/>
      <c r="H43" s="36"/>
      <c r="I43" s="36"/>
      <c r="J43" s="36"/>
      <c r="K43" s="36"/>
      <c r="L43" s="83"/>
      <c r="M43" s="109"/>
      <c r="N43" s="109"/>
      <c r="O43" s="109"/>
      <c r="P43" s="109"/>
      <c r="Q43" s="109"/>
      <c r="R43" s="109"/>
      <c r="S43" s="109"/>
      <c r="T43" s="109"/>
      <c r="U43" s="109"/>
    </row>
    <row r="44" spans="1:21" ht="78" outlineLevel="1">
      <c r="A44" s="217" t="s">
        <v>6</v>
      </c>
      <c r="B44" s="218"/>
      <c r="C44" s="37" t="s">
        <v>102</v>
      </c>
      <c r="D44" s="38">
        <f>COUNTIF(L47:L83,TRUE)</f>
        <v>8</v>
      </c>
      <c r="E44" s="74" t="s">
        <v>103</v>
      </c>
      <c r="F44" s="219" t="s">
        <v>104</v>
      </c>
      <c r="G44" s="218"/>
      <c r="H44" s="40">
        <f ca="1">IFERROR(__xludf.DUMMYFUNCTION("COUNTUNIQUE(D5:D42)"),38)</f>
        <v>38</v>
      </c>
      <c r="I44" s="41" t="s">
        <v>105</v>
      </c>
      <c r="J44" s="42"/>
      <c r="K44" s="42">
        <f ca="1">H44/3</f>
        <v>12.666666666666666</v>
      </c>
      <c r="L44" s="43"/>
      <c r="M44" s="43"/>
      <c r="N44" s="43"/>
      <c r="O44" s="43"/>
      <c r="P44" s="43"/>
      <c r="Q44" s="43"/>
      <c r="R44" s="43"/>
      <c r="S44" s="43"/>
      <c r="T44" s="43"/>
      <c r="U44" s="43"/>
    </row>
    <row r="45" spans="1:21" ht="17.5" outlineLevel="1">
      <c r="A45" s="227" t="s">
        <v>106</v>
      </c>
      <c r="B45" s="203"/>
      <c r="C45" s="75">
        <v>2</v>
      </c>
      <c r="D45" s="7"/>
      <c r="E45" s="46" t="s">
        <v>107</v>
      </c>
      <c r="F45" s="7"/>
      <c r="G45" s="7"/>
      <c r="H45" s="7"/>
      <c r="I45" s="7"/>
      <c r="J45" s="7"/>
      <c r="K45" s="7"/>
      <c r="L45" s="83"/>
      <c r="M45" s="109"/>
      <c r="N45" s="109"/>
      <c r="O45" s="109"/>
      <c r="P45" s="109"/>
      <c r="Q45" s="109"/>
      <c r="R45" s="109"/>
      <c r="S45" s="109"/>
      <c r="T45" s="109"/>
      <c r="U45" s="109"/>
    </row>
    <row r="46" spans="1:21" ht="15.5" outlineLevel="1">
      <c r="A46" s="207" t="s">
        <v>9</v>
      </c>
      <c r="B46" s="208"/>
      <c r="C46" s="9" t="s">
        <v>10</v>
      </c>
      <c r="D46" s="10" t="s">
        <v>11</v>
      </c>
      <c r="E46" s="11" t="s">
        <v>12</v>
      </c>
      <c r="F46" s="9" t="s">
        <v>13</v>
      </c>
      <c r="G46" s="9" t="s">
        <v>14</v>
      </c>
      <c r="H46" s="9" t="s">
        <v>15</v>
      </c>
      <c r="I46" s="9" t="s">
        <v>16</v>
      </c>
      <c r="J46" s="9"/>
      <c r="K46" s="9" t="s">
        <v>17</v>
      </c>
      <c r="L46" s="10" t="s">
        <v>108</v>
      </c>
      <c r="M46" s="109"/>
      <c r="N46" s="109"/>
      <c r="O46" s="109"/>
      <c r="P46" s="109"/>
      <c r="Q46" s="109"/>
      <c r="R46" s="109"/>
      <c r="S46" s="109"/>
      <c r="T46" s="109"/>
      <c r="U46" s="109"/>
    </row>
    <row r="47" spans="1:21" ht="87.5" outlineLevel="1">
      <c r="A47" s="240" t="s">
        <v>18</v>
      </c>
      <c r="B47" s="244" t="s">
        <v>398</v>
      </c>
      <c r="C47" s="21">
        <f t="shared" ref="C47:C83" si="1">COUNTIF(F47:I47,TRUE)</f>
        <v>4</v>
      </c>
      <c r="D47" s="7" t="str">
        <f t="shared" ref="D47:I47" si="2">IF($C5&gt;$C$45,D5,"")</f>
        <v>4.NBT.A.1</v>
      </c>
      <c r="E47" s="47" t="str">
        <f t="shared" si="2"/>
        <v>Recognize that in a multi-digit whole number, a digit in one place represents ten times what it represents in the place to its right. For example, recognize that 700 ÷ 70 = 10 by applying concepts of place value and division.</v>
      </c>
      <c r="F47" s="76" t="b">
        <f t="shared" si="2"/>
        <v>1</v>
      </c>
      <c r="G47" s="76" t="b">
        <f t="shared" si="2"/>
        <v>1</v>
      </c>
      <c r="H47" s="76" t="b">
        <f t="shared" si="2"/>
        <v>1</v>
      </c>
      <c r="I47" s="76" t="b">
        <f t="shared" si="2"/>
        <v>1</v>
      </c>
      <c r="J47" s="7"/>
      <c r="K47" s="47" t="str">
        <f t="shared" ref="K47:K49" si="3">IF($C5&gt;$C$45,K5,"")</f>
        <v>R- in 5th grade it will connect to decimals 5.NBT.A.1
E- This will continue through the next several grade levels in math
A- ACT Aspire, MAP, Common assessment
L-connects to many parts of math (decimals, fractions, etc.)</v>
      </c>
      <c r="L47" s="48" t="b">
        <v>0</v>
      </c>
      <c r="M47" s="7" t="str">
        <f t="shared" ref="M47:U47" si="4">IF($L47=TRUE,C47,"")</f>
        <v/>
      </c>
      <c r="N47" s="7" t="str">
        <f t="shared" si="4"/>
        <v/>
      </c>
      <c r="O47" s="7" t="str">
        <f t="shared" si="4"/>
        <v/>
      </c>
      <c r="P47" s="7" t="str">
        <f t="shared" si="4"/>
        <v/>
      </c>
      <c r="Q47" s="7" t="str">
        <f t="shared" si="4"/>
        <v/>
      </c>
      <c r="R47" s="7" t="str">
        <f t="shared" si="4"/>
        <v/>
      </c>
      <c r="S47" s="7" t="str">
        <f t="shared" si="4"/>
        <v/>
      </c>
      <c r="T47" s="7" t="str">
        <f t="shared" si="4"/>
        <v/>
      </c>
      <c r="U47" s="8" t="str">
        <f t="shared" si="4"/>
        <v/>
      </c>
    </row>
    <row r="48" spans="1:21" ht="62.5" outlineLevel="1">
      <c r="A48" s="210"/>
      <c r="B48" s="210"/>
      <c r="C48" s="21">
        <f t="shared" si="1"/>
        <v>3</v>
      </c>
      <c r="D48" s="7" t="str">
        <f t="shared" ref="D48:I48" si="5">IF($C6&gt;$C$45,D6,"")</f>
        <v>4.NBT.A.2
(Part One)</v>
      </c>
      <c r="E48" s="47" t="str">
        <f t="shared" si="5"/>
        <v xml:space="preserve">Read and write multi-digit whole numbers using base-ten numerals, number names, and expanded form. </v>
      </c>
      <c r="F48" s="76" t="b">
        <f t="shared" si="5"/>
        <v>1</v>
      </c>
      <c r="G48" s="76" t="b">
        <f t="shared" si="5"/>
        <v>1</v>
      </c>
      <c r="H48" s="76" t="b">
        <f t="shared" si="5"/>
        <v>1</v>
      </c>
      <c r="I48" s="76" t="b">
        <f t="shared" si="5"/>
        <v>0</v>
      </c>
      <c r="J48" s="7"/>
      <c r="K48" s="47" t="str">
        <f t="shared" si="3"/>
        <v>R- in 5th grade it will connect to decimals 5.NBT.A.1
E- This will continue through the next several grade levels in math
A- ACT Aspire, MAP</v>
      </c>
      <c r="L48" s="123" t="b">
        <v>0</v>
      </c>
      <c r="M48" s="7" t="str">
        <f t="shared" ref="M48:U48" si="6">IF($L48=TRUE,C48,"")</f>
        <v/>
      </c>
      <c r="N48" s="7" t="str">
        <f t="shared" si="6"/>
        <v/>
      </c>
      <c r="O48" s="7" t="str">
        <f t="shared" si="6"/>
        <v/>
      </c>
      <c r="P48" s="7" t="str">
        <f t="shared" si="6"/>
        <v/>
      </c>
      <c r="Q48" s="7" t="str">
        <f t="shared" si="6"/>
        <v/>
      </c>
      <c r="R48" s="7" t="str">
        <f t="shared" si="6"/>
        <v/>
      </c>
      <c r="S48" s="7" t="str">
        <f t="shared" si="6"/>
        <v/>
      </c>
      <c r="T48" s="7" t="str">
        <f t="shared" si="6"/>
        <v/>
      </c>
      <c r="U48" s="8" t="str">
        <f t="shared" si="6"/>
        <v/>
      </c>
    </row>
    <row r="49" spans="1:21" ht="62.5" outlineLevel="1">
      <c r="A49" s="210"/>
      <c r="B49" s="211"/>
      <c r="C49" s="21">
        <f t="shared" si="1"/>
        <v>3</v>
      </c>
      <c r="D49" s="7" t="str">
        <f t="shared" ref="D49:I49" si="7">IF($C7&gt;$C$45,D7,"")</f>
        <v>4.NBT.A.2
(Part Two)</v>
      </c>
      <c r="E49" s="47" t="str">
        <f t="shared" si="7"/>
        <v>Compare two multi-digit numbers based on meanings of the digits in each place, using &gt;, =, and &lt; symbols to record the results of comparisons.</v>
      </c>
      <c r="F49" s="76" t="b">
        <f t="shared" si="7"/>
        <v>1</v>
      </c>
      <c r="G49" s="76" t="b">
        <f t="shared" si="7"/>
        <v>1</v>
      </c>
      <c r="H49" s="76" t="b">
        <f t="shared" si="7"/>
        <v>1</v>
      </c>
      <c r="I49" s="76" t="b">
        <f t="shared" si="7"/>
        <v>0</v>
      </c>
      <c r="J49" s="7"/>
      <c r="K49" s="47" t="str">
        <f t="shared" si="3"/>
        <v>R- in 5th grade it will connect to decimals 5.NBT.A.1
E- This will continue through the next several grade levels in math
A- ACT Aspire, MAP</v>
      </c>
      <c r="L49" s="124" t="b">
        <v>0</v>
      </c>
      <c r="M49" s="7" t="str">
        <f t="shared" ref="M49:U49" si="8">IF($L49=TRUE,C49,"")</f>
        <v/>
      </c>
      <c r="N49" s="7" t="str">
        <f t="shared" si="8"/>
        <v/>
      </c>
      <c r="O49" s="7" t="str">
        <f t="shared" si="8"/>
        <v/>
      </c>
      <c r="P49" s="7" t="str">
        <f t="shared" si="8"/>
        <v/>
      </c>
      <c r="Q49" s="7" t="str">
        <f t="shared" si="8"/>
        <v/>
      </c>
      <c r="R49" s="7" t="str">
        <f t="shared" si="8"/>
        <v/>
      </c>
      <c r="S49" s="7" t="str">
        <f t="shared" si="8"/>
        <v/>
      </c>
      <c r="T49" s="7" t="str">
        <f t="shared" si="8"/>
        <v/>
      </c>
      <c r="U49" s="8" t="str">
        <f t="shared" si="8"/>
        <v/>
      </c>
    </row>
    <row r="50" spans="1:21" ht="100" outlineLevel="1">
      <c r="A50" s="210"/>
      <c r="B50" s="234" t="s">
        <v>269</v>
      </c>
      <c r="C50" s="21">
        <f t="shared" si="1"/>
        <v>4</v>
      </c>
      <c r="D50" s="7" t="str">
        <f t="shared" ref="D50:I50" si="9">IF($C9&gt;$C$45,D9,"")</f>
        <v>4.NBT.B.4</v>
      </c>
      <c r="E50" s="47" t="str">
        <f t="shared" si="9"/>
        <v>Fluently add and subtract multi-digit whole numbers using the standard algorithm.</v>
      </c>
      <c r="F50" s="76" t="b">
        <f t="shared" si="9"/>
        <v>1</v>
      </c>
      <c r="G50" s="76" t="b">
        <f t="shared" si="9"/>
        <v>1</v>
      </c>
      <c r="H50" s="76" t="b">
        <f t="shared" si="9"/>
        <v>1</v>
      </c>
      <c r="I50" s="76" t="b">
        <f t="shared" si="9"/>
        <v>1</v>
      </c>
      <c r="J50" s="7"/>
      <c r="K50" s="47" t="str">
        <f t="shared" ref="K50:K83" si="10">IF($C9&gt;$C$45,K9,"")</f>
        <v>R-In 5th grade they will use their knowledge of the standard algorithm to solve problems with multiple operations. 5.OA.A.2
E-This will continue through the next several grade levels in math. 
A-ACT Aspire, MAP, Common assessment
L-connects to many parts of math (fractions, decimals, algebra, etc.)</v>
      </c>
      <c r="L50" s="123" t="b">
        <v>1</v>
      </c>
      <c r="M50" s="7">
        <f t="shared" ref="M50:U50" si="11">IF($L50=TRUE,C50,"")</f>
        <v>4</v>
      </c>
      <c r="N50" s="7" t="str">
        <f t="shared" si="11"/>
        <v>4.NBT.B.4</v>
      </c>
      <c r="O50" s="7" t="str">
        <f t="shared" si="11"/>
        <v>Fluently add and subtract multi-digit whole numbers using the standard algorithm.</v>
      </c>
      <c r="P50" s="7" t="b">
        <f t="shared" si="11"/>
        <v>1</v>
      </c>
      <c r="Q50" s="7" t="b">
        <f t="shared" si="11"/>
        <v>1</v>
      </c>
      <c r="R50" s="7" t="b">
        <f t="shared" si="11"/>
        <v>1</v>
      </c>
      <c r="S50" s="7" t="b">
        <f t="shared" si="11"/>
        <v>1</v>
      </c>
      <c r="T50" s="7">
        <f t="shared" si="11"/>
        <v>0</v>
      </c>
      <c r="U50" s="8" t="str">
        <f t="shared" si="11"/>
        <v>R-In 5th grade they will use their knowledge of the standard algorithm to solve problems with multiple operations. 5.OA.A.2
E-This will continue through the next several grade levels in math. 
A-ACT Aspire, MAP, Common assessment
L-connects to many parts of math (fractions, decimals, algebra, etc.)</v>
      </c>
    </row>
    <row r="51" spans="1:21" ht="100" outlineLevel="1">
      <c r="A51" s="210"/>
      <c r="B51" s="210"/>
      <c r="C51" s="21">
        <f t="shared" si="1"/>
        <v>4</v>
      </c>
      <c r="D51" s="7" t="str">
        <f t="shared" ref="D51:I51" si="12">IF($C10&gt;$C$45,D10,"")</f>
        <v>4.NBT.B.5</v>
      </c>
      <c r="E51" s="47" t="str">
        <f t="shared" si="12"/>
        <v>Multiply a whole number of up to four digits by a one-digit whole number, and multiply two two-digit numbers, using strategies based on place value and the properties of operations. Illustrate and explain the calculation by using equations, rectangular arrays, and/or area models.</v>
      </c>
      <c r="F51" s="76" t="b">
        <f t="shared" si="12"/>
        <v>1</v>
      </c>
      <c r="G51" s="76" t="b">
        <f t="shared" si="12"/>
        <v>1</v>
      </c>
      <c r="H51" s="76" t="b">
        <f t="shared" si="12"/>
        <v>1</v>
      </c>
      <c r="I51" s="76" t="b">
        <f t="shared" si="12"/>
        <v>1</v>
      </c>
      <c r="J51" s="7"/>
      <c r="K51" s="47" t="str">
        <f t="shared" si="10"/>
        <v>R- In 5th grade they will use the standard algorithm of multiplication to solve problems. 5.NBT.B.5
E-This will continue through the next several grade levels in math. 
A-ACT Aspire, MAP, Common assessment
L- connects to many parts of math (fractions, decimals, etc.)</v>
      </c>
      <c r="L51" s="123" t="b">
        <v>1</v>
      </c>
      <c r="M51" s="7">
        <f t="shared" ref="M51:U51" si="13">IF($L51=TRUE,C51,"")</f>
        <v>4</v>
      </c>
      <c r="N51" s="7" t="str">
        <f t="shared" si="13"/>
        <v>4.NBT.B.5</v>
      </c>
      <c r="O51" s="7" t="str">
        <f t="shared" si="13"/>
        <v>Multiply a whole number of up to four digits by a one-digit whole number, and multiply two two-digit numbers, using strategies based on place value and the properties of operations. Illustrate and explain the calculation by using equations, rectangular arrays, and/or area models.</v>
      </c>
      <c r="P51" s="7" t="b">
        <f t="shared" si="13"/>
        <v>1</v>
      </c>
      <c r="Q51" s="7" t="b">
        <f t="shared" si="13"/>
        <v>1</v>
      </c>
      <c r="R51" s="7" t="b">
        <f t="shared" si="13"/>
        <v>1</v>
      </c>
      <c r="S51" s="7" t="b">
        <f t="shared" si="13"/>
        <v>1</v>
      </c>
      <c r="T51" s="7">
        <f t="shared" si="13"/>
        <v>0</v>
      </c>
      <c r="U51" s="8" t="str">
        <f t="shared" si="13"/>
        <v>R- In 5th grade they will use the standard algorithm of multiplication to solve problems. 5.NBT.B.5
E-This will continue through the next several grade levels in math. 
A-ACT Aspire, MAP, Common assessment
L- connects to many parts of math (fractions, decimals, etc.)</v>
      </c>
    </row>
    <row r="52" spans="1:21" ht="100" outlineLevel="1">
      <c r="A52" s="211"/>
      <c r="B52" s="211"/>
      <c r="C52" s="27">
        <f t="shared" si="1"/>
        <v>4</v>
      </c>
      <c r="D52" s="7" t="str">
        <f t="shared" ref="D52:I52" si="14">IF($C11&gt;$C$45,D11,"")</f>
        <v>4.NBT.B.6</v>
      </c>
      <c r="E52" s="47" t="str">
        <f t="shared" si="14"/>
        <v>Find whole-number quotients and remainders with up to four-digit dividends and one-digit divisors, using strategies based on place value, the properties of operations, and/or the relationship between multiplication and division. Illustrate and explain the calculation by using equations, rectangular arrays, and/or area models</v>
      </c>
      <c r="F52" s="76" t="b">
        <f t="shared" si="14"/>
        <v>1</v>
      </c>
      <c r="G52" s="76" t="b">
        <f t="shared" si="14"/>
        <v>1</v>
      </c>
      <c r="H52" s="76" t="b">
        <f t="shared" si="14"/>
        <v>1</v>
      </c>
      <c r="I52" s="76" t="b">
        <f t="shared" si="14"/>
        <v>1</v>
      </c>
      <c r="J52" s="7"/>
      <c r="K52" s="47" t="str">
        <f t="shared" si="10"/>
        <v>R-In 5th grade they will use the standard algorithm in division, as well as with decimals. 5.NBT.B.6
E-This will continue through the next several grade levels in math. 
A-ACT Aspire, MAP, Common assessment
L- connects to many parts of math (fractions, decimals, etc.)</v>
      </c>
      <c r="L52" s="123" t="b">
        <v>1</v>
      </c>
      <c r="M52" s="7">
        <f t="shared" ref="M52:U52" si="15">IF($L52=TRUE,C52,"")</f>
        <v>4</v>
      </c>
      <c r="N52" s="7" t="str">
        <f t="shared" si="15"/>
        <v>4.NBT.B.6</v>
      </c>
      <c r="O52" s="7" t="str">
        <f t="shared" si="15"/>
        <v>Find whole-number quotients and remainders with up to four-digit dividends and one-digit divisors, using strategies based on place value, the properties of operations, and/or the relationship between multiplication and division. Illustrate and explain the calculation by using equations, rectangular arrays, and/or area models</v>
      </c>
      <c r="P52" s="7" t="b">
        <f t="shared" si="15"/>
        <v>1</v>
      </c>
      <c r="Q52" s="7" t="b">
        <f t="shared" si="15"/>
        <v>1</v>
      </c>
      <c r="R52" s="7" t="b">
        <f t="shared" si="15"/>
        <v>1</v>
      </c>
      <c r="S52" s="7" t="b">
        <f t="shared" si="15"/>
        <v>1</v>
      </c>
      <c r="T52" s="7">
        <f t="shared" si="15"/>
        <v>0</v>
      </c>
      <c r="U52" s="8" t="str">
        <f t="shared" si="15"/>
        <v>R-In 5th grade they will use the standard algorithm in division, as well as with decimals. 5.NBT.B.6
E-This will continue through the next several grade levels in math. 
A-ACT Aspire, MAP, Common assessment
L- connects to many parts of math (fractions, decimals, etc.)</v>
      </c>
    </row>
    <row r="53" spans="1:21" ht="13" outlineLevel="1">
      <c r="A53" s="209" t="s">
        <v>23</v>
      </c>
      <c r="B53" s="228" t="s">
        <v>420</v>
      </c>
      <c r="C53" s="21">
        <f t="shared" si="1"/>
        <v>0</v>
      </c>
      <c r="D53" s="7" t="str">
        <f t="shared" ref="D53:I53" si="16">IF($C12&gt;$C$45,D12,"")</f>
        <v/>
      </c>
      <c r="E53" s="47" t="str">
        <f t="shared" si="16"/>
        <v/>
      </c>
      <c r="F53" s="76" t="str">
        <f t="shared" si="16"/>
        <v/>
      </c>
      <c r="G53" s="76" t="str">
        <f t="shared" si="16"/>
        <v/>
      </c>
      <c r="H53" s="76" t="str">
        <f t="shared" si="16"/>
        <v/>
      </c>
      <c r="I53" s="76" t="str">
        <f t="shared" si="16"/>
        <v/>
      </c>
      <c r="J53" s="7"/>
      <c r="K53" s="47" t="str">
        <f t="shared" si="10"/>
        <v/>
      </c>
      <c r="L53" s="123" t="b">
        <v>0</v>
      </c>
      <c r="M53" s="7" t="str">
        <f t="shared" ref="M53:U53" si="17">IF($L53=TRUE,C53,"")</f>
        <v/>
      </c>
      <c r="N53" s="7" t="str">
        <f t="shared" si="17"/>
        <v/>
      </c>
      <c r="O53" s="7" t="str">
        <f t="shared" si="17"/>
        <v/>
      </c>
      <c r="P53" s="7" t="str">
        <f t="shared" si="17"/>
        <v/>
      </c>
      <c r="Q53" s="7" t="str">
        <f t="shared" si="17"/>
        <v/>
      </c>
      <c r="R53" s="7" t="str">
        <f t="shared" si="17"/>
        <v/>
      </c>
      <c r="S53" s="7" t="str">
        <f t="shared" si="17"/>
        <v/>
      </c>
      <c r="T53" s="7" t="str">
        <f t="shared" si="17"/>
        <v/>
      </c>
      <c r="U53" s="8" t="str">
        <f t="shared" si="17"/>
        <v/>
      </c>
    </row>
    <row r="54" spans="1:21" ht="62.5" outlineLevel="1">
      <c r="A54" s="210"/>
      <c r="B54" s="210"/>
      <c r="C54" s="21">
        <f t="shared" si="1"/>
        <v>3</v>
      </c>
      <c r="D54" s="7" t="str">
        <f t="shared" ref="D54:I54" si="18">IF($C13&gt;$C$45,D13,"")</f>
        <v>4.OA.A.2</v>
      </c>
      <c r="E54" s="47" t="str">
        <f t="shared" si="18"/>
        <v>Multiply or divide to solve word problems involving multiplicative comparison, e.g., by using drawings and equations with a symbol for the unknown number to represent the problem, distinguishing multiplicative comparison from additive comparison.</v>
      </c>
      <c r="F54" s="76" t="b">
        <f t="shared" si="18"/>
        <v>1</v>
      </c>
      <c r="G54" s="76" t="b">
        <f t="shared" si="18"/>
        <v>1</v>
      </c>
      <c r="H54" s="76" t="b">
        <f t="shared" si="18"/>
        <v>1</v>
      </c>
      <c r="I54" s="76" t="b">
        <f t="shared" si="18"/>
        <v>0</v>
      </c>
      <c r="J54" s="7"/>
      <c r="K54" s="47" t="str">
        <f t="shared" si="10"/>
        <v>R- This standard connects to multiplication and division from 3rd grade on
E- This will continue through the next several grade levels in math
A- ACT Aspire, MAP</v>
      </c>
      <c r="L54" s="123" t="b">
        <v>0</v>
      </c>
      <c r="M54" s="7" t="str">
        <f t="shared" ref="M54:U54" si="19">IF($L54=TRUE,C54,"")</f>
        <v/>
      </c>
      <c r="N54" s="7" t="str">
        <f t="shared" si="19"/>
        <v/>
      </c>
      <c r="O54" s="7" t="str">
        <f t="shared" si="19"/>
        <v/>
      </c>
      <c r="P54" s="7" t="str">
        <f t="shared" si="19"/>
        <v/>
      </c>
      <c r="Q54" s="7" t="str">
        <f t="shared" si="19"/>
        <v/>
      </c>
      <c r="R54" s="7" t="str">
        <f t="shared" si="19"/>
        <v/>
      </c>
      <c r="S54" s="7" t="str">
        <f t="shared" si="19"/>
        <v/>
      </c>
      <c r="T54" s="7" t="str">
        <f t="shared" si="19"/>
        <v/>
      </c>
      <c r="U54" s="8" t="str">
        <f t="shared" si="19"/>
        <v/>
      </c>
    </row>
    <row r="55" spans="1:21" ht="87.5" outlineLevel="1">
      <c r="A55" s="210"/>
      <c r="B55" s="211"/>
      <c r="C55" s="27">
        <f t="shared" si="1"/>
        <v>3</v>
      </c>
      <c r="D55" s="7" t="str">
        <f t="shared" ref="D55:I55" si="20">IF($C14&gt;$C$45,D14,"")</f>
        <v>4.OA.A.3</v>
      </c>
      <c r="E55" s="47" t="str">
        <f t="shared" si="20"/>
        <v>Solve multistep word problems posed with whole numbers and having whole-number answers using the four operations, including problems in which remainders must be interpreted. Represent these problems using equations with a letter standing for the unknown quantity. Assess the reasonableness of answers using mental computation and estimation strategies including rounding.</v>
      </c>
      <c r="F55" s="76" t="b">
        <f t="shared" si="20"/>
        <v>1</v>
      </c>
      <c r="G55" s="76" t="b">
        <f t="shared" si="20"/>
        <v>1</v>
      </c>
      <c r="H55" s="76" t="b">
        <f t="shared" si="20"/>
        <v>1</v>
      </c>
      <c r="I55" s="76" t="b">
        <f t="shared" si="20"/>
        <v>0</v>
      </c>
      <c r="J55" s="7"/>
      <c r="K55" s="47" t="str">
        <f t="shared" si="10"/>
        <v>R- This standard connects to all four operations in many levels of math
E- This will continue through the next several grade levels in math
A- ACT Aspire, MAP</v>
      </c>
      <c r="L55" s="123" t="b">
        <v>0</v>
      </c>
      <c r="M55" s="7" t="str">
        <f t="shared" ref="M55:U55" si="21">IF($L55=TRUE,C55,"")</f>
        <v/>
      </c>
      <c r="N55" s="7" t="str">
        <f t="shared" si="21"/>
        <v/>
      </c>
      <c r="O55" s="7" t="str">
        <f t="shared" si="21"/>
        <v/>
      </c>
      <c r="P55" s="7" t="str">
        <f t="shared" si="21"/>
        <v/>
      </c>
      <c r="Q55" s="7" t="str">
        <f t="shared" si="21"/>
        <v/>
      </c>
      <c r="R55" s="7" t="str">
        <f t="shared" si="21"/>
        <v/>
      </c>
      <c r="S55" s="7" t="str">
        <f t="shared" si="21"/>
        <v/>
      </c>
      <c r="T55" s="7" t="str">
        <f t="shared" si="21"/>
        <v/>
      </c>
      <c r="U55" s="8" t="str">
        <f t="shared" si="21"/>
        <v/>
      </c>
    </row>
    <row r="56" spans="1:21" ht="100" outlineLevel="1">
      <c r="A56" s="210"/>
      <c r="B56" s="85" t="s">
        <v>430</v>
      </c>
      <c r="C56" s="27">
        <f t="shared" si="1"/>
        <v>4</v>
      </c>
      <c r="D56" s="7" t="str">
        <f t="shared" ref="D56:I56" si="22">IF($C15&gt;$C$45,D15,"")</f>
        <v>4.OA.B.4</v>
      </c>
      <c r="E56" s="47" t="str">
        <f t="shared" si="22"/>
        <v>Find all factor pairs for a whole number in the range 1–100. Recognize that a whole number is a multiple of each of its factors. Determine whether a given whole number in the range 1–100 is a multiple of a given one-digit number. Determine whether a given whole number in the range 1–100 is prime or composite.</v>
      </c>
      <c r="F56" s="76" t="b">
        <f t="shared" si="22"/>
        <v>1</v>
      </c>
      <c r="G56" s="76" t="b">
        <f t="shared" si="22"/>
        <v>1</v>
      </c>
      <c r="H56" s="76" t="b">
        <f t="shared" si="22"/>
        <v>1</v>
      </c>
      <c r="I56" s="76" t="b">
        <f t="shared" si="22"/>
        <v>1</v>
      </c>
      <c r="J56" s="7"/>
      <c r="K56" s="47" t="str">
        <f t="shared" si="10"/>
        <v>R-In 5th grade they will need to apply this knowledge to the understanding of finding like denominators, standard algorithm, etc. 
E-This will continue through the next several grade levels in math. 
A-ACT Aspire, MAP, Common assessment
L- Connects to many parts of math (division, multiplication, fractions, decimals, etc.)</v>
      </c>
      <c r="L56" s="123" t="b">
        <v>1</v>
      </c>
      <c r="M56" s="7">
        <f t="shared" ref="M56:U56" si="23">IF($L56=TRUE,C56,"")</f>
        <v>4</v>
      </c>
      <c r="N56" s="7" t="str">
        <f t="shared" si="23"/>
        <v>4.OA.B.4</v>
      </c>
      <c r="O56" s="7" t="str">
        <f t="shared" si="23"/>
        <v>Find all factor pairs for a whole number in the range 1–100. Recognize that a whole number is a multiple of each of its factors. Determine whether a given whole number in the range 1–100 is a multiple of a given one-digit number. Determine whether a given whole number in the range 1–100 is prime or composite.</v>
      </c>
      <c r="P56" s="7" t="b">
        <f t="shared" si="23"/>
        <v>1</v>
      </c>
      <c r="Q56" s="7" t="b">
        <f t="shared" si="23"/>
        <v>1</v>
      </c>
      <c r="R56" s="7" t="b">
        <f t="shared" si="23"/>
        <v>1</v>
      </c>
      <c r="S56" s="7" t="b">
        <f t="shared" si="23"/>
        <v>1</v>
      </c>
      <c r="T56" s="7">
        <f t="shared" si="23"/>
        <v>0</v>
      </c>
      <c r="U56" s="8" t="str">
        <f t="shared" si="23"/>
        <v>R-In 5th grade they will need to apply this knowledge to the understanding of finding like denominators, standard algorithm, etc. 
E-This will continue through the next several grade levels in math. 
A-ACT Aspire, MAP, Common assessment
L- Connects to many parts of math (division, multiplication, fractions, decimals, etc.)</v>
      </c>
    </row>
    <row r="57" spans="1:21" ht="37.5" outlineLevel="1">
      <c r="A57" s="211"/>
      <c r="B57" s="101" t="s">
        <v>434</v>
      </c>
      <c r="C57" s="27">
        <f t="shared" si="1"/>
        <v>0</v>
      </c>
      <c r="D57" s="7" t="str">
        <f t="shared" ref="D57:I57" si="24">IF($C16&gt;$C$45,D16,"")</f>
        <v/>
      </c>
      <c r="E57" s="47" t="str">
        <f t="shared" si="24"/>
        <v/>
      </c>
      <c r="F57" s="76" t="str">
        <f t="shared" si="24"/>
        <v/>
      </c>
      <c r="G57" s="76" t="str">
        <f t="shared" si="24"/>
        <v/>
      </c>
      <c r="H57" s="76" t="str">
        <f t="shared" si="24"/>
        <v/>
      </c>
      <c r="I57" s="76" t="str">
        <f t="shared" si="24"/>
        <v/>
      </c>
      <c r="J57" s="7"/>
      <c r="K57" s="47" t="str">
        <f t="shared" si="10"/>
        <v/>
      </c>
      <c r="L57" s="124" t="b">
        <v>0</v>
      </c>
      <c r="M57" s="7" t="str">
        <f t="shared" ref="M57:U57" si="25">IF($L57=TRUE,C57,"")</f>
        <v/>
      </c>
      <c r="N57" s="7" t="str">
        <f t="shared" si="25"/>
        <v/>
      </c>
      <c r="O57" s="7" t="str">
        <f t="shared" si="25"/>
        <v/>
      </c>
      <c r="P57" s="7" t="str">
        <f t="shared" si="25"/>
        <v/>
      </c>
      <c r="Q57" s="7" t="str">
        <f t="shared" si="25"/>
        <v/>
      </c>
      <c r="R57" s="7" t="str">
        <f t="shared" si="25"/>
        <v/>
      </c>
      <c r="S57" s="7" t="str">
        <f t="shared" si="25"/>
        <v/>
      </c>
      <c r="T57" s="7" t="str">
        <f t="shared" si="25"/>
        <v/>
      </c>
      <c r="U57" s="8" t="str">
        <f t="shared" si="25"/>
        <v/>
      </c>
    </row>
    <row r="58" spans="1:21" ht="13" outlineLevel="1">
      <c r="A58" s="215" t="s">
        <v>39</v>
      </c>
      <c r="B58" s="220" t="s">
        <v>167</v>
      </c>
      <c r="C58" s="21">
        <f t="shared" si="1"/>
        <v>0</v>
      </c>
      <c r="D58" s="7" t="str">
        <f t="shared" ref="D58:I58" si="26">IF($C17&gt;$C$45,D17,"")</f>
        <v/>
      </c>
      <c r="E58" s="47" t="str">
        <f t="shared" si="26"/>
        <v/>
      </c>
      <c r="F58" s="76" t="str">
        <f t="shared" si="26"/>
        <v/>
      </c>
      <c r="G58" s="76" t="str">
        <f t="shared" si="26"/>
        <v/>
      </c>
      <c r="H58" s="76" t="str">
        <f t="shared" si="26"/>
        <v/>
      </c>
      <c r="I58" s="76" t="str">
        <f t="shared" si="26"/>
        <v/>
      </c>
      <c r="J58" s="7"/>
      <c r="K58" s="47" t="str">
        <f t="shared" si="10"/>
        <v/>
      </c>
      <c r="L58" s="124" t="b">
        <v>0</v>
      </c>
      <c r="M58" s="7" t="str">
        <f t="shared" ref="M58:U58" si="27">IF($L58=TRUE,C58,"")</f>
        <v/>
      </c>
      <c r="N58" s="7" t="str">
        <f t="shared" si="27"/>
        <v/>
      </c>
      <c r="O58" s="7" t="str">
        <f t="shared" si="27"/>
        <v/>
      </c>
      <c r="P58" s="7" t="str">
        <f t="shared" si="27"/>
        <v/>
      </c>
      <c r="Q58" s="7" t="str">
        <f t="shared" si="27"/>
        <v/>
      </c>
      <c r="R58" s="7" t="str">
        <f t="shared" si="27"/>
        <v/>
      </c>
      <c r="S58" s="7" t="str">
        <f t="shared" si="27"/>
        <v/>
      </c>
      <c r="T58" s="7" t="str">
        <f t="shared" si="27"/>
        <v/>
      </c>
      <c r="U58" s="8" t="str">
        <f t="shared" si="27"/>
        <v/>
      </c>
    </row>
    <row r="59" spans="1:21" ht="75" outlineLevel="1">
      <c r="A59" s="210"/>
      <c r="B59" s="210"/>
      <c r="C59" s="21">
        <f t="shared" si="1"/>
        <v>3</v>
      </c>
      <c r="D59" s="7" t="str">
        <f t="shared" ref="D59:I59" si="28">IF($C18&gt;$C$45,D18,"")</f>
        <v>4.G.A.2</v>
      </c>
      <c r="E59" s="47" t="str">
        <f t="shared" si="28"/>
        <v>Classify two-dimensional figures based on the presence or absence of parallel or perpendicular lines, or the presence or absence of angles of a specified size. Recognize right triangles as a category, and identify right triangles.</v>
      </c>
      <c r="F59" s="76" t="b">
        <f t="shared" si="28"/>
        <v>1</v>
      </c>
      <c r="G59" s="76" t="b">
        <f t="shared" si="28"/>
        <v>1</v>
      </c>
      <c r="H59" s="76" t="b">
        <f t="shared" si="28"/>
        <v>1</v>
      </c>
      <c r="I59" s="76" t="b">
        <f t="shared" si="28"/>
        <v>0</v>
      </c>
      <c r="J59" s="7"/>
      <c r="K59" s="47" t="str">
        <f t="shared" si="10"/>
        <v>R-Connects to many prior geometry standards, as well as several upcoming in 5th.
E- This will continue through the next several grade levels in math
A- ACT Aspire, MAP</v>
      </c>
      <c r="L59" s="124" t="b">
        <v>0</v>
      </c>
      <c r="M59" s="7" t="str">
        <f t="shared" ref="M59:U59" si="29">IF($L59=TRUE,C59,"")</f>
        <v/>
      </c>
      <c r="N59" s="7" t="str">
        <f t="shared" si="29"/>
        <v/>
      </c>
      <c r="O59" s="7" t="str">
        <f t="shared" si="29"/>
        <v/>
      </c>
      <c r="P59" s="7" t="str">
        <f t="shared" si="29"/>
        <v/>
      </c>
      <c r="Q59" s="7" t="str">
        <f t="shared" si="29"/>
        <v/>
      </c>
      <c r="R59" s="7" t="str">
        <f t="shared" si="29"/>
        <v/>
      </c>
      <c r="S59" s="7" t="str">
        <f t="shared" si="29"/>
        <v/>
      </c>
      <c r="T59" s="7" t="str">
        <f t="shared" si="29"/>
        <v/>
      </c>
      <c r="U59" s="8" t="str">
        <f t="shared" si="29"/>
        <v/>
      </c>
    </row>
    <row r="60" spans="1:21" ht="75" outlineLevel="1">
      <c r="A60" s="211"/>
      <c r="B60" s="211"/>
      <c r="C60" s="27">
        <f t="shared" si="1"/>
        <v>3</v>
      </c>
      <c r="D60" s="7" t="str">
        <f t="shared" ref="D60:I60" si="30">IF($C19&gt;$C$45,D19,"")</f>
        <v>4.G.A.3</v>
      </c>
      <c r="E60" s="47" t="str">
        <f t="shared" si="30"/>
        <v>Recognize a line of symmetry for a two-dimensional figure as a line across the figure such that the figure can be folded along the line into matching parts. Identify linesymmetric figures and draw lines of symmetry.</v>
      </c>
      <c r="F60" s="76" t="b">
        <f t="shared" si="30"/>
        <v>1</v>
      </c>
      <c r="G60" s="76" t="b">
        <f t="shared" si="30"/>
        <v>1</v>
      </c>
      <c r="H60" s="76" t="b">
        <f t="shared" si="30"/>
        <v>1</v>
      </c>
      <c r="I60" s="76" t="b">
        <f t="shared" si="30"/>
        <v>0</v>
      </c>
      <c r="J60" s="7"/>
      <c r="K60" s="47" t="str">
        <f t="shared" si="10"/>
        <v>R-Connects to many prior geometry standards, as well as several upcoming in 5th.
E- This will continue through the next several grade levels in math
A- ACT Aspire, MAP</v>
      </c>
      <c r="L60" s="123" t="b">
        <v>0</v>
      </c>
      <c r="M60" s="7" t="str">
        <f t="shared" ref="M60:U60" si="31">IF($L60=TRUE,C60,"")</f>
        <v/>
      </c>
      <c r="N60" s="7" t="str">
        <f t="shared" si="31"/>
        <v/>
      </c>
      <c r="O60" s="7" t="str">
        <f t="shared" si="31"/>
        <v/>
      </c>
      <c r="P60" s="7" t="str">
        <f t="shared" si="31"/>
        <v/>
      </c>
      <c r="Q60" s="7" t="str">
        <f t="shared" si="31"/>
        <v/>
      </c>
      <c r="R60" s="7" t="str">
        <f t="shared" si="31"/>
        <v/>
      </c>
      <c r="S60" s="7" t="str">
        <f t="shared" si="31"/>
        <v/>
      </c>
      <c r="T60" s="7" t="str">
        <f t="shared" si="31"/>
        <v/>
      </c>
      <c r="U60" s="8" t="str">
        <f t="shared" si="31"/>
        <v/>
      </c>
    </row>
    <row r="61" spans="1:21" ht="112.5" outlineLevel="1">
      <c r="A61" s="222" t="s">
        <v>57</v>
      </c>
      <c r="B61" s="243" t="s">
        <v>446</v>
      </c>
      <c r="C61" s="21">
        <f t="shared" si="1"/>
        <v>4</v>
      </c>
      <c r="D61" s="7" t="str">
        <f t="shared" ref="D61:I61" si="32">IF($C20&gt;$C$45,D20,"")</f>
        <v>4.MD.A.1</v>
      </c>
      <c r="E61" s="47" t="str">
        <f t="shared" si="32"/>
        <v>Know relative sizes of measurement units within one system of units including km, m, cm; kg, g; lb, oz.; l, ml; hr, min, sec. Within a single system of measurement, express measurements in a larger unit in terms of a smaller unit. Record measurement equivalents in a twocolumn table. For example, know that 1 ft is 12 times as long as 1 in. Express the length of a 4 ft snake as 48 in. Generate a conversion table for feet and inches listing the number pairs (1, 12), (2, 24), (3, 36), ...</v>
      </c>
      <c r="F61" s="76" t="b">
        <f t="shared" si="32"/>
        <v>1</v>
      </c>
      <c r="G61" s="76" t="b">
        <f t="shared" si="32"/>
        <v>1</v>
      </c>
      <c r="H61" s="76" t="b">
        <f t="shared" si="32"/>
        <v>1</v>
      </c>
      <c r="I61" s="76" t="b">
        <f t="shared" si="32"/>
        <v>1</v>
      </c>
      <c r="J61" s="7"/>
      <c r="K61" s="47" t="str">
        <f t="shared" si="10"/>
        <v xml:space="preserve">R- In 5th grade they will need to convert measurements within given units 5.MD.A.1 
E-This will continue through the next several grade levels in math, as well as in life. 
A-ACT Aspire, MAP, Common assessment
L- Connects to many parts of math </v>
      </c>
      <c r="L61" s="123" t="b">
        <v>0</v>
      </c>
      <c r="M61" s="7" t="str">
        <f t="shared" ref="M61:U61" si="33">IF($L61=TRUE,C61,"")</f>
        <v/>
      </c>
      <c r="N61" s="7" t="str">
        <f t="shared" si="33"/>
        <v/>
      </c>
      <c r="O61" s="7" t="str">
        <f t="shared" si="33"/>
        <v/>
      </c>
      <c r="P61" s="7" t="str">
        <f t="shared" si="33"/>
        <v/>
      </c>
      <c r="Q61" s="7" t="str">
        <f t="shared" si="33"/>
        <v/>
      </c>
      <c r="R61" s="7" t="str">
        <f t="shared" si="33"/>
        <v/>
      </c>
      <c r="S61" s="7" t="str">
        <f t="shared" si="33"/>
        <v/>
      </c>
      <c r="T61" s="7" t="str">
        <f t="shared" si="33"/>
        <v/>
      </c>
      <c r="U61" s="8" t="str">
        <f t="shared" si="33"/>
        <v/>
      </c>
    </row>
    <row r="62" spans="1:21" ht="87.5" outlineLevel="1">
      <c r="A62" s="210"/>
      <c r="B62" s="210"/>
      <c r="C62" s="21">
        <f t="shared" si="1"/>
        <v>3</v>
      </c>
      <c r="D62" s="7" t="str">
        <f t="shared" ref="D62:I62" si="34">IF($C21&gt;$C$45,D21,"")</f>
        <v>4.MD.A.2</v>
      </c>
      <c r="E62" s="47" t="str">
        <f t="shared" si="34"/>
        <v>Use the four operations to solve word problems involving distances, intervals of time, liquid volumes, masses of objects, and money, including problems involving simple fractions or decimals, and problems that require expressing measurements given in a larger unit in terms of a smaller unit. Represent measurement quantities using diagrams such as number line diagrams that feature a measurement scale.</v>
      </c>
      <c r="F62" s="76" t="b">
        <f t="shared" si="34"/>
        <v>1</v>
      </c>
      <c r="G62" s="76" t="b">
        <f t="shared" si="34"/>
        <v>1</v>
      </c>
      <c r="H62" s="76" t="b">
        <f t="shared" si="34"/>
        <v>1</v>
      </c>
      <c r="I62" s="76" t="b">
        <f t="shared" si="34"/>
        <v>0</v>
      </c>
      <c r="J62" s="7"/>
      <c r="K62" s="47" t="str">
        <f t="shared" si="10"/>
        <v>R-Connects to operations of multiplication and division to convert measurements
E- This will continue through the next several grade levels in math
A- ACT Aspire, MAP</v>
      </c>
      <c r="L62" s="124" t="b">
        <v>0</v>
      </c>
      <c r="M62" s="7" t="str">
        <f t="shared" ref="M62:U62" si="35">IF($L62=TRUE,C62,"")</f>
        <v/>
      </c>
      <c r="N62" s="7" t="str">
        <f t="shared" si="35"/>
        <v/>
      </c>
      <c r="O62" s="7" t="str">
        <f t="shared" si="35"/>
        <v/>
      </c>
      <c r="P62" s="7" t="str">
        <f t="shared" si="35"/>
        <v/>
      </c>
      <c r="Q62" s="7" t="str">
        <f t="shared" si="35"/>
        <v/>
      </c>
      <c r="R62" s="7" t="str">
        <f t="shared" si="35"/>
        <v/>
      </c>
      <c r="S62" s="7" t="str">
        <f t="shared" si="35"/>
        <v/>
      </c>
      <c r="T62" s="7" t="str">
        <f t="shared" si="35"/>
        <v/>
      </c>
      <c r="U62" s="8" t="str">
        <f t="shared" si="35"/>
        <v/>
      </c>
    </row>
    <row r="63" spans="1:21" ht="125" outlineLevel="1">
      <c r="A63" s="210"/>
      <c r="B63" s="211"/>
      <c r="C63" s="27">
        <f t="shared" si="1"/>
        <v>4</v>
      </c>
      <c r="D63" s="7" t="str">
        <f t="shared" ref="D63:I63" si="36">IF($C22&gt;$C$45,D22,"")</f>
        <v>4.MD.A.3</v>
      </c>
      <c r="E63" s="47" t="str">
        <f t="shared" si="36"/>
        <v>Apply the area and perimeter formulas for rectangles in real world and mathematical problems. For example, find the width of a rectangular room given the area of the flooring and the length, by viewing the area formula as a multiplication equation with an unknown factor.</v>
      </c>
      <c r="F63" s="76" t="b">
        <f t="shared" si="36"/>
        <v>1</v>
      </c>
      <c r="G63" s="76" t="b">
        <f t="shared" si="36"/>
        <v>1</v>
      </c>
      <c r="H63" s="76" t="b">
        <f t="shared" si="36"/>
        <v>1</v>
      </c>
      <c r="I63" s="76" t="b">
        <f t="shared" si="36"/>
        <v>1</v>
      </c>
      <c r="J63" s="7"/>
      <c r="K63" s="47" t="str">
        <f t="shared" si="10"/>
        <v>R-In 5th grade, students will need to apply their understanding of perimeter and area in relation to one another and how to solve real world problems, as well as finding volume. 5.MD.C.3
E-This will continue through the next several grade levels in math, as well as in life. 
A-ACT Aspire, MAP, Common assessment
L-connects to many parts of math (volume, area and perimeter of irregular shapes, etc. )</v>
      </c>
      <c r="L63" s="123" t="b">
        <v>1</v>
      </c>
      <c r="M63" s="7">
        <f t="shared" ref="M63:U63" si="37">IF($L63=TRUE,C63,"")</f>
        <v>4</v>
      </c>
      <c r="N63" s="7" t="str">
        <f t="shared" si="37"/>
        <v>4.MD.A.3</v>
      </c>
      <c r="O63" s="7" t="str">
        <f t="shared" si="37"/>
        <v>Apply the area and perimeter formulas for rectangles in real world and mathematical problems. For example, find the width of a rectangular room given the area of the flooring and the length, by viewing the area formula as a multiplication equation with an unknown factor.</v>
      </c>
      <c r="P63" s="7" t="b">
        <f t="shared" si="37"/>
        <v>1</v>
      </c>
      <c r="Q63" s="7" t="b">
        <f t="shared" si="37"/>
        <v>1</v>
      </c>
      <c r="R63" s="7" t="b">
        <f t="shared" si="37"/>
        <v>1</v>
      </c>
      <c r="S63" s="7" t="b">
        <f t="shared" si="37"/>
        <v>1</v>
      </c>
      <c r="T63" s="7">
        <f t="shared" si="37"/>
        <v>0</v>
      </c>
      <c r="U63" s="8" t="str">
        <f t="shared" si="37"/>
        <v>R-In 5th grade, students will need to apply their understanding of perimeter and area in relation to one another and how to solve real world problems, as well as finding volume. 5.MD.C.3
E-This will continue through the next several grade levels in math, as well as in life. 
A-ACT Aspire, MAP, Common assessment
L-connects to many parts of math (volume, area and perimeter of irregular shapes, etc. )</v>
      </c>
    </row>
    <row r="64" spans="1:21" ht="25" outlineLevel="1">
      <c r="A64" s="210"/>
      <c r="B64" s="122" t="s">
        <v>188</v>
      </c>
      <c r="C64" s="27">
        <f t="shared" si="1"/>
        <v>0</v>
      </c>
      <c r="D64" s="7" t="str">
        <f t="shared" ref="D64:I64" si="38">IF($C23&gt;$C$45,D23,"")</f>
        <v/>
      </c>
      <c r="E64" s="47" t="str">
        <f t="shared" si="38"/>
        <v/>
      </c>
      <c r="F64" s="76" t="str">
        <f t="shared" si="38"/>
        <v/>
      </c>
      <c r="G64" s="76" t="str">
        <f t="shared" si="38"/>
        <v/>
      </c>
      <c r="H64" s="76" t="str">
        <f t="shared" si="38"/>
        <v/>
      </c>
      <c r="I64" s="76" t="str">
        <f t="shared" si="38"/>
        <v/>
      </c>
      <c r="J64" s="7"/>
      <c r="K64" s="47" t="str">
        <f t="shared" si="10"/>
        <v/>
      </c>
      <c r="L64" s="124" t="b">
        <v>0</v>
      </c>
      <c r="M64" s="7" t="str">
        <f t="shared" ref="M64:U64" si="39">IF($L64=TRUE,C64,"")</f>
        <v/>
      </c>
      <c r="N64" s="7" t="str">
        <f t="shared" si="39"/>
        <v/>
      </c>
      <c r="O64" s="7" t="str">
        <f t="shared" si="39"/>
        <v/>
      </c>
      <c r="P64" s="7" t="str">
        <f t="shared" si="39"/>
        <v/>
      </c>
      <c r="Q64" s="7" t="str">
        <f t="shared" si="39"/>
        <v/>
      </c>
      <c r="R64" s="7" t="str">
        <f t="shared" si="39"/>
        <v/>
      </c>
      <c r="S64" s="7" t="str">
        <f t="shared" si="39"/>
        <v/>
      </c>
      <c r="T64" s="7" t="str">
        <f t="shared" si="39"/>
        <v/>
      </c>
      <c r="U64" s="8" t="str">
        <f t="shared" si="39"/>
        <v/>
      </c>
    </row>
    <row r="65" spans="1:21" ht="13" outlineLevel="1">
      <c r="A65" s="210"/>
      <c r="B65" s="241" t="s">
        <v>459</v>
      </c>
      <c r="C65" s="21">
        <f t="shared" si="1"/>
        <v>0</v>
      </c>
      <c r="D65" s="7" t="str">
        <f t="shared" ref="D65:I65" si="40">IF($C24&gt;$C$45,D24,"")</f>
        <v/>
      </c>
      <c r="E65" s="47" t="str">
        <f t="shared" si="40"/>
        <v/>
      </c>
      <c r="F65" s="76" t="str">
        <f t="shared" si="40"/>
        <v/>
      </c>
      <c r="G65" s="76" t="str">
        <f t="shared" si="40"/>
        <v/>
      </c>
      <c r="H65" s="76" t="str">
        <f t="shared" si="40"/>
        <v/>
      </c>
      <c r="I65" s="76" t="str">
        <f t="shared" si="40"/>
        <v/>
      </c>
      <c r="J65" s="7"/>
      <c r="K65" s="47" t="str">
        <f t="shared" si="10"/>
        <v/>
      </c>
      <c r="L65" s="124" t="b">
        <v>0</v>
      </c>
      <c r="M65" s="7" t="str">
        <f t="shared" ref="M65:U65" si="41">IF($L65=TRUE,C65,"")</f>
        <v/>
      </c>
      <c r="N65" s="7" t="str">
        <f t="shared" si="41"/>
        <v/>
      </c>
      <c r="O65" s="7" t="str">
        <f t="shared" si="41"/>
        <v/>
      </c>
      <c r="P65" s="7" t="str">
        <f t="shared" si="41"/>
        <v/>
      </c>
      <c r="Q65" s="7" t="str">
        <f t="shared" si="41"/>
        <v/>
      </c>
      <c r="R65" s="7" t="str">
        <f t="shared" si="41"/>
        <v/>
      </c>
      <c r="S65" s="7" t="str">
        <f t="shared" si="41"/>
        <v/>
      </c>
      <c r="T65" s="7" t="str">
        <f t="shared" si="41"/>
        <v/>
      </c>
      <c r="U65" s="8" t="str">
        <f t="shared" si="41"/>
        <v/>
      </c>
    </row>
    <row r="66" spans="1:21" ht="13" outlineLevel="1">
      <c r="A66" s="210"/>
      <c r="B66" s="210"/>
      <c r="C66" s="21">
        <f t="shared" si="1"/>
        <v>0</v>
      </c>
      <c r="D66" s="7" t="str">
        <f t="shared" ref="D66:I66" si="42">IF($C25&gt;$C$45,D25,"")</f>
        <v/>
      </c>
      <c r="E66" s="47" t="str">
        <f t="shared" si="42"/>
        <v/>
      </c>
      <c r="F66" s="76" t="str">
        <f t="shared" si="42"/>
        <v/>
      </c>
      <c r="G66" s="76" t="str">
        <f t="shared" si="42"/>
        <v/>
      </c>
      <c r="H66" s="76" t="str">
        <f t="shared" si="42"/>
        <v/>
      </c>
      <c r="I66" s="76" t="str">
        <f t="shared" si="42"/>
        <v/>
      </c>
      <c r="J66" s="7"/>
      <c r="K66" s="47" t="str">
        <f t="shared" si="10"/>
        <v/>
      </c>
      <c r="L66" s="124" t="b">
        <v>0</v>
      </c>
      <c r="M66" s="7" t="str">
        <f t="shared" ref="M66:U66" si="43">IF($L66=TRUE,C66,"")</f>
        <v/>
      </c>
      <c r="N66" s="7" t="str">
        <f t="shared" si="43"/>
        <v/>
      </c>
      <c r="O66" s="7" t="str">
        <f t="shared" si="43"/>
        <v/>
      </c>
      <c r="P66" s="7" t="str">
        <f t="shared" si="43"/>
        <v/>
      </c>
      <c r="Q66" s="7" t="str">
        <f t="shared" si="43"/>
        <v/>
      </c>
      <c r="R66" s="7" t="str">
        <f t="shared" si="43"/>
        <v/>
      </c>
      <c r="S66" s="7" t="str">
        <f t="shared" si="43"/>
        <v/>
      </c>
      <c r="T66" s="7" t="str">
        <f t="shared" si="43"/>
        <v/>
      </c>
      <c r="U66" s="8" t="str">
        <f t="shared" si="43"/>
        <v/>
      </c>
    </row>
    <row r="67" spans="1:21" ht="13" outlineLevel="1">
      <c r="A67" s="210"/>
      <c r="B67" s="210"/>
      <c r="C67" s="21">
        <f t="shared" si="1"/>
        <v>0</v>
      </c>
      <c r="D67" s="7" t="str">
        <f t="shared" ref="D67:I67" si="44">IF($C26&gt;$C$45,D26,"")</f>
        <v/>
      </c>
      <c r="E67" s="47" t="str">
        <f t="shared" si="44"/>
        <v/>
      </c>
      <c r="F67" s="76" t="str">
        <f t="shared" si="44"/>
        <v/>
      </c>
      <c r="G67" s="76" t="str">
        <f t="shared" si="44"/>
        <v/>
      </c>
      <c r="H67" s="76" t="str">
        <f t="shared" si="44"/>
        <v/>
      </c>
      <c r="I67" s="76" t="str">
        <f t="shared" si="44"/>
        <v/>
      </c>
      <c r="J67" s="7"/>
      <c r="K67" s="47" t="str">
        <f t="shared" si="10"/>
        <v/>
      </c>
      <c r="L67" s="124" t="b">
        <v>0</v>
      </c>
      <c r="M67" s="7" t="str">
        <f t="shared" ref="M67:U67" si="45">IF($L67=TRUE,C67,"")</f>
        <v/>
      </c>
      <c r="N67" s="7" t="str">
        <f t="shared" si="45"/>
        <v/>
      </c>
      <c r="O67" s="7" t="str">
        <f t="shared" si="45"/>
        <v/>
      </c>
      <c r="P67" s="7" t="str">
        <f t="shared" si="45"/>
        <v/>
      </c>
      <c r="Q67" s="7" t="str">
        <f t="shared" si="45"/>
        <v/>
      </c>
      <c r="R67" s="7" t="str">
        <f t="shared" si="45"/>
        <v/>
      </c>
      <c r="S67" s="7" t="str">
        <f t="shared" si="45"/>
        <v/>
      </c>
      <c r="T67" s="7" t="str">
        <f t="shared" si="45"/>
        <v/>
      </c>
      <c r="U67" s="8" t="str">
        <f t="shared" si="45"/>
        <v/>
      </c>
    </row>
    <row r="68" spans="1:21" ht="13" outlineLevel="1">
      <c r="A68" s="210"/>
      <c r="B68" s="210"/>
      <c r="C68" s="21">
        <f t="shared" si="1"/>
        <v>0</v>
      </c>
      <c r="D68" s="7" t="str">
        <f t="shared" ref="D68:I68" si="46">IF($C27&gt;$C$45,D27,"")</f>
        <v/>
      </c>
      <c r="E68" s="47" t="str">
        <f t="shared" si="46"/>
        <v/>
      </c>
      <c r="F68" s="76" t="str">
        <f t="shared" si="46"/>
        <v/>
      </c>
      <c r="G68" s="76" t="str">
        <f t="shared" si="46"/>
        <v/>
      </c>
      <c r="H68" s="76" t="str">
        <f t="shared" si="46"/>
        <v/>
      </c>
      <c r="I68" s="76" t="str">
        <f t="shared" si="46"/>
        <v/>
      </c>
      <c r="J68" s="7"/>
      <c r="K68" s="47" t="str">
        <f t="shared" si="10"/>
        <v/>
      </c>
      <c r="L68" s="124" t="b">
        <v>0</v>
      </c>
      <c r="M68" s="7" t="str">
        <f t="shared" ref="M68:U68" si="47">IF($L68=TRUE,C68,"")</f>
        <v/>
      </c>
      <c r="N68" s="7" t="str">
        <f t="shared" si="47"/>
        <v/>
      </c>
      <c r="O68" s="7" t="str">
        <f t="shared" si="47"/>
        <v/>
      </c>
      <c r="P68" s="7" t="str">
        <f t="shared" si="47"/>
        <v/>
      </c>
      <c r="Q68" s="7" t="str">
        <f t="shared" si="47"/>
        <v/>
      </c>
      <c r="R68" s="7" t="str">
        <f t="shared" si="47"/>
        <v/>
      </c>
      <c r="S68" s="7" t="str">
        <f t="shared" si="47"/>
        <v/>
      </c>
      <c r="T68" s="7" t="str">
        <f t="shared" si="47"/>
        <v/>
      </c>
      <c r="U68" s="8" t="str">
        <f t="shared" si="47"/>
        <v/>
      </c>
    </row>
    <row r="69" spans="1:21" ht="87.5" outlineLevel="1">
      <c r="A69" s="211"/>
      <c r="B69" s="211"/>
      <c r="C69" s="27">
        <f t="shared" si="1"/>
        <v>4</v>
      </c>
      <c r="D69" s="7" t="str">
        <f t="shared" ref="D69:I69" si="48">IF($C28&gt;$C$45,D28,"")</f>
        <v>4.MD.C.7</v>
      </c>
      <c r="E69" s="47" t="str">
        <f t="shared" si="48"/>
        <v>Recognize angle measure as additive. When an angle is decomposed into non-overlapping parts, the angle measure of the whole is the sum of the angle measures of the parts. Solve addition and subtraction problems to find unknown angles on a diagram in real world and mathematical problems, e.g., by using an equation with a symbol for the unknown angle measure.</v>
      </c>
      <c r="F69" s="76" t="b">
        <f t="shared" si="48"/>
        <v>1</v>
      </c>
      <c r="G69" s="76" t="b">
        <f t="shared" si="48"/>
        <v>1</v>
      </c>
      <c r="H69" s="76" t="b">
        <f t="shared" si="48"/>
        <v>1</v>
      </c>
      <c r="I69" s="76" t="b">
        <f t="shared" si="48"/>
        <v>1</v>
      </c>
      <c r="J69" s="7"/>
      <c r="K69" s="47" t="str">
        <f t="shared" si="10"/>
        <v>R- In 5th grade, 
E-This will continue through the next several grade levels in math, as well as in life. 
A-ACT Aspire, MAP, Common assessment
L- Connects to many areas of math (geometry, shapes, circles, etc.)</v>
      </c>
      <c r="L69" s="123" t="b">
        <v>0</v>
      </c>
      <c r="M69" s="7" t="str">
        <f t="shared" ref="M69:U69" si="49">IF($L69=TRUE,C69,"")</f>
        <v/>
      </c>
      <c r="N69" s="7" t="str">
        <f t="shared" si="49"/>
        <v/>
      </c>
      <c r="O69" s="7" t="str">
        <f t="shared" si="49"/>
        <v/>
      </c>
      <c r="P69" s="7" t="str">
        <f t="shared" si="49"/>
        <v/>
      </c>
      <c r="Q69" s="7" t="str">
        <f t="shared" si="49"/>
        <v/>
      </c>
      <c r="R69" s="7" t="str">
        <f t="shared" si="49"/>
        <v/>
      </c>
      <c r="S69" s="7" t="str">
        <f t="shared" si="49"/>
        <v/>
      </c>
      <c r="T69" s="7" t="str">
        <f t="shared" si="49"/>
        <v/>
      </c>
      <c r="U69" s="8" t="str">
        <f t="shared" si="49"/>
        <v/>
      </c>
    </row>
    <row r="70" spans="1:21" ht="100" outlineLevel="1">
      <c r="A70" s="247" t="s">
        <v>368</v>
      </c>
      <c r="B70" s="246" t="s">
        <v>473</v>
      </c>
      <c r="C70" s="21">
        <f t="shared" si="1"/>
        <v>4</v>
      </c>
      <c r="D70" s="7" t="str">
        <f t="shared" ref="D70:I70" si="50">IF($C29&gt;$C$45,D29,"")</f>
        <v>4.NF.A.1</v>
      </c>
      <c r="E70" s="47" t="str">
        <f t="shared" si="50"/>
        <v>Explain why a fraction a/b is equivalent to a fraction (n × a)/(n × b) by using visual fraction models, with attention to how the number and size of the parts differ even though the two fractions themselves are the same size. Use this principle to recognize and generate equivalent fractions.</v>
      </c>
      <c r="F70" s="76" t="b">
        <f t="shared" si="50"/>
        <v>1</v>
      </c>
      <c r="G70" s="76" t="b">
        <f t="shared" si="50"/>
        <v>1</v>
      </c>
      <c r="H70" s="76" t="b">
        <f t="shared" si="50"/>
        <v>1</v>
      </c>
      <c r="I70" s="76" t="b">
        <f t="shared" si="50"/>
        <v>1</v>
      </c>
      <c r="J70" s="7"/>
      <c r="K70" s="47" t="str">
        <f t="shared" si="10"/>
        <v>R- In 5th grade, students will need to add and subtract fractions with unlike denominators.5.NF.A.1
E-This will continue through the next several grade levels in math, as well as in life. 
A-ACT Aspire, MAP, Common assessment
L- Connects to many areas of math (fractions, decimals, equivalence, etc.)</v>
      </c>
      <c r="L70" s="123" t="b">
        <v>1</v>
      </c>
      <c r="M70" s="7">
        <f t="shared" ref="M70:U70" si="51">IF($L70=TRUE,C70,"")</f>
        <v>4</v>
      </c>
      <c r="N70" s="7" t="str">
        <f t="shared" si="51"/>
        <v>4.NF.A.1</v>
      </c>
      <c r="O70" s="7" t="str">
        <f t="shared" si="51"/>
        <v>Explain why a fraction a/b is equivalent to a fraction (n × a)/(n × b) by using visual fraction models, with attention to how the number and size of the parts differ even though the two fractions themselves are the same size. Use this principle to recognize and generate equivalent fractions.</v>
      </c>
      <c r="P70" s="7" t="b">
        <f t="shared" si="51"/>
        <v>1</v>
      </c>
      <c r="Q70" s="7" t="b">
        <f t="shared" si="51"/>
        <v>1</v>
      </c>
      <c r="R70" s="7" t="b">
        <f t="shared" si="51"/>
        <v>1</v>
      </c>
      <c r="S70" s="7" t="b">
        <f t="shared" si="51"/>
        <v>1</v>
      </c>
      <c r="T70" s="7">
        <f t="shared" si="51"/>
        <v>0</v>
      </c>
      <c r="U70" s="8" t="str">
        <f t="shared" si="51"/>
        <v>R- In 5th grade, students will need to add and subtract fractions with unlike denominators.5.NF.A.1
E-This will continue through the next several grade levels in math, as well as in life. 
A-ACT Aspire, MAP, Common assessment
L- Connects to many areas of math (fractions, decimals, equivalence, etc.)</v>
      </c>
    </row>
    <row r="71" spans="1:21" ht="100" outlineLevel="1">
      <c r="A71" s="210"/>
      <c r="B71" s="211"/>
      <c r="C71" s="27">
        <f t="shared" si="1"/>
        <v>3</v>
      </c>
      <c r="D71" s="7" t="str">
        <f t="shared" ref="D71:I71" si="52">IF($C30&gt;$C$45,D30,"")</f>
        <v>4.NF.A.2</v>
      </c>
      <c r="E71" s="47" t="str">
        <f t="shared" si="52"/>
        <v>Compare two fractions with different numerators and different denominators, e.g., by creating common denominators or numerators, or by comparing to a benchmark fraction such as 1/2. Recognize that comparisons are valid only when the two fractions refer to the same whole. Record the results of comparisons with symbols &gt;, =, or &lt;, and justify the conclusions, e.g., by using a visual fraction model.</v>
      </c>
      <c r="F71" s="76" t="b">
        <f t="shared" si="52"/>
        <v>1</v>
      </c>
      <c r="G71" s="76" t="b">
        <f t="shared" si="52"/>
        <v>1</v>
      </c>
      <c r="H71" s="76" t="b">
        <f t="shared" si="52"/>
        <v>1</v>
      </c>
      <c r="I71" s="76" t="b">
        <f t="shared" si="52"/>
        <v>0</v>
      </c>
      <c r="J71" s="7"/>
      <c r="K71" s="47" t="str">
        <f t="shared" si="10"/>
        <v>R-Connects to mulitplication and factors to determine common denominators in order to use operations of fractions in 5th grade.
E- This will continue through the next several grade levels in math
A- ACT Aspire, MAP</v>
      </c>
      <c r="L71" s="123" t="b">
        <v>0</v>
      </c>
      <c r="M71" s="7" t="str">
        <f t="shared" ref="M71:U71" si="53">IF($L71=TRUE,C71,"")</f>
        <v/>
      </c>
      <c r="N71" s="7" t="str">
        <f t="shared" si="53"/>
        <v/>
      </c>
      <c r="O71" s="7" t="str">
        <f t="shared" si="53"/>
        <v/>
      </c>
      <c r="P71" s="7" t="str">
        <f t="shared" si="53"/>
        <v/>
      </c>
      <c r="Q71" s="7" t="str">
        <f t="shared" si="53"/>
        <v/>
      </c>
      <c r="R71" s="7" t="str">
        <f t="shared" si="53"/>
        <v/>
      </c>
      <c r="S71" s="7" t="str">
        <f t="shared" si="53"/>
        <v/>
      </c>
      <c r="T71" s="7" t="str">
        <f t="shared" si="53"/>
        <v/>
      </c>
      <c r="U71" s="8" t="str">
        <f t="shared" si="53"/>
        <v/>
      </c>
    </row>
    <row r="72" spans="1:21" ht="25" outlineLevel="1">
      <c r="A72" s="210"/>
      <c r="B72" s="250" t="s">
        <v>480</v>
      </c>
      <c r="C72" s="21">
        <f t="shared" si="1"/>
        <v>4</v>
      </c>
      <c r="D72" s="7" t="str">
        <f t="shared" ref="D72:I72" si="54">IF($C31&gt;$C$45,D31,"")</f>
        <v>4.NF.B.3</v>
      </c>
      <c r="E72" s="47" t="str">
        <f t="shared" si="54"/>
        <v>Understand a fraction a/b with a &gt; 1 as a sum of fractions 1/b.</v>
      </c>
      <c r="F72" s="76" t="b">
        <f t="shared" si="54"/>
        <v>1</v>
      </c>
      <c r="G72" s="76" t="b">
        <f t="shared" si="54"/>
        <v>1</v>
      </c>
      <c r="H72" s="76" t="b">
        <f t="shared" si="54"/>
        <v>1</v>
      </c>
      <c r="I72" s="76" t="b">
        <f t="shared" si="54"/>
        <v>1</v>
      </c>
      <c r="J72" s="7"/>
      <c r="K72" s="47" t="str">
        <f t="shared" si="10"/>
        <v>R-Connects to many prior fraction standards, as well as several upcoming in 5th.</v>
      </c>
      <c r="L72" s="124" t="b">
        <v>0</v>
      </c>
      <c r="M72" s="7" t="str">
        <f t="shared" ref="M72:U72" si="55">IF($L72=TRUE,C72,"")</f>
        <v/>
      </c>
      <c r="N72" s="7" t="str">
        <f t="shared" si="55"/>
        <v/>
      </c>
      <c r="O72" s="7" t="str">
        <f t="shared" si="55"/>
        <v/>
      </c>
      <c r="P72" s="7" t="str">
        <f t="shared" si="55"/>
        <v/>
      </c>
      <c r="Q72" s="7" t="str">
        <f t="shared" si="55"/>
        <v/>
      </c>
      <c r="R72" s="7" t="str">
        <f t="shared" si="55"/>
        <v/>
      </c>
      <c r="S72" s="7" t="str">
        <f t="shared" si="55"/>
        <v/>
      </c>
      <c r="T72" s="7" t="str">
        <f t="shared" si="55"/>
        <v/>
      </c>
      <c r="U72" s="8" t="str">
        <f t="shared" si="55"/>
        <v/>
      </c>
    </row>
    <row r="73" spans="1:21" ht="62.5" outlineLevel="1">
      <c r="A73" s="210"/>
      <c r="B73" s="210"/>
      <c r="C73" s="21">
        <f t="shared" si="1"/>
        <v>3</v>
      </c>
      <c r="D73" s="7" t="str">
        <f t="shared" ref="D73:I73" si="56">IF($C32&gt;$C$45,D32,"")</f>
        <v>4.NF.B.3a</v>
      </c>
      <c r="E73" s="47" t="str">
        <f t="shared" si="56"/>
        <v>Understand addition and subtraction of fractions as joining and separating parts referring to the same whole.</v>
      </c>
      <c r="F73" s="76" t="b">
        <f t="shared" si="56"/>
        <v>1</v>
      </c>
      <c r="G73" s="76" t="b">
        <f t="shared" si="56"/>
        <v>1</v>
      </c>
      <c r="H73" s="76" t="b">
        <f t="shared" si="56"/>
        <v>1</v>
      </c>
      <c r="I73" s="76" t="b">
        <f t="shared" si="56"/>
        <v>0</v>
      </c>
      <c r="J73" s="7"/>
      <c r="K73" s="47" t="str">
        <f t="shared" si="10"/>
        <v>R-Connects to mulitplication and factors from 3rd grade and on.
E- This will continue through the next several grade levels in math
A- ACT Aspire, MAP</v>
      </c>
      <c r="L73" s="123" t="b">
        <v>0</v>
      </c>
      <c r="M73" s="7" t="str">
        <f t="shared" ref="M73:U73" si="57">IF($L73=TRUE,C73,"")</f>
        <v/>
      </c>
      <c r="N73" s="7" t="str">
        <f t="shared" si="57"/>
        <v/>
      </c>
      <c r="O73" s="7" t="str">
        <f t="shared" si="57"/>
        <v/>
      </c>
      <c r="P73" s="7" t="str">
        <f t="shared" si="57"/>
        <v/>
      </c>
      <c r="Q73" s="7" t="str">
        <f t="shared" si="57"/>
        <v/>
      </c>
      <c r="R73" s="7" t="str">
        <f t="shared" si="57"/>
        <v/>
      </c>
      <c r="S73" s="7" t="str">
        <f t="shared" si="57"/>
        <v/>
      </c>
      <c r="T73" s="7" t="str">
        <f t="shared" si="57"/>
        <v/>
      </c>
      <c r="U73" s="8" t="str">
        <f t="shared" si="57"/>
        <v/>
      </c>
    </row>
    <row r="74" spans="1:21" ht="13" outlineLevel="1">
      <c r="A74" s="210"/>
      <c r="B74" s="210"/>
      <c r="C74" s="21">
        <f t="shared" si="1"/>
        <v>0</v>
      </c>
      <c r="D74" s="7" t="str">
        <f t="shared" ref="D74:I74" si="58">IF($C33&gt;$C$45,D33,"")</f>
        <v/>
      </c>
      <c r="E74" s="47" t="str">
        <f t="shared" si="58"/>
        <v/>
      </c>
      <c r="F74" s="76" t="str">
        <f t="shared" si="58"/>
        <v/>
      </c>
      <c r="G74" s="76" t="str">
        <f t="shared" si="58"/>
        <v/>
      </c>
      <c r="H74" s="76" t="str">
        <f t="shared" si="58"/>
        <v/>
      </c>
      <c r="I74" s="76" t="str">
        <f t="shared" si="58"/>
        <v/>
      </c>
      <c r="J74" s="7"/>
      <c r="K74" s="47" t="str">
        <f t="shared" si="10"/>
        <v/>
      </c>
      <c r="L74" s="124" t="b">
        <v>0</v>
      </c>
      <c r="M74" s="7" t="str">
        <f t="shared" ref="M74:U74" si="59">IF($L74=TRUE,C74,"")</f>
        <v/>
      </c>
      <c r="N74" s="7" t="str">
        <f t="shared" si="59"/>
        <v/>
      </c>
      <c r="O74" s="7" t="str">
        <f t="shared" si="59"/>
        <v/>
      </c>
      <c r="P74" s="7" t="str">
        <f t="shared" si="59"/>
        <v/>
      </c>
      <c r="Q74" s="7" t="str">
        <f t="shared" si="59"/>
        <v/>
      </c>
      <c r="R74" s="7" t="str">
        <f t="shared" si="59"/>
        <v/>
      </c>
      <c r="S74" s="7" t="str">
        <f t="shared" si="59"/>
        <v/>
      </c>
      <c r="T74" s="7" t="str">
        <f t="shared" si="59"/>
        <v/>
      </c>
      <c r="U74" s="8" t="str">
        <f t="shared" si="59"/>
        <v/>
      </c>
    </row>
    <row r="75" spans="1:21" ht="75" outlineLevel="1">
      <c r="A75" s="210"/>
      <c r="B75" s="210"/>
      <c r="C75" s="21">
        <f t="shared" si="1"/>
        <v>3</v>
      </c>
      <c r="D75" s="7" t="str">
        <f t="shared" ref="D75:I75" si="60">IF($C34&gt;$C$45,D34,"")</f>
        <v>4.NF.B.3c</v>
      </c>
      <c r="E75" s="47" t="str">
        <f t="shared" si="60"/>
        <v>Add and subtract mixed numbers with like denominators, e.g., by replacing each mixed number with an equivalent fraction, and/or by using properties of operations and the relationship between addition and subtraction.</v>
      </c>
      <c r="F75" s="76" t="b">
        <f t="shared" si="60"/>
        <v>1</v>
      </c>
      <c r="G75" s="76" t="b">
        <f t="shared" si="60"/>
        <v>1</v>
      </c>
      <c r="H75" s="76" t="b">
        <f t="shared" si="60"/>
        <v>1</v>
      </c>
      <c r="I75" s="76" t="b">
        <f t="shared" si="60"/>
        <v>0</v>
      </c>
      <c r="J75" s="7"/>
      <c r="K75" s="47" t="str">
        <f t="shared" si="10"/>
        <v>R-Connects to mulitplication and factors to determine common denominators in order to use operations of fractions in 5th grade.
E- This will continue through the next several grade levels in math
A- ACT Aspire, MAP</v>
      </c>
      <c r="L75" s="123" t="b">
        <v>0</v>
      </c>
      <c r="M75" s="7" t="str">
        <f t="shared" ref="M75:U75" si="61">IF($L75=TRUE,C75,"")</f>
        <v/>
      </c>
      <c r="N75" s="7" t="str">
        <f t="shared" si="61"/>
        <v/>
      </c>
      <c r="O75" s="7" t="str">
        <f t="shared" si="61"/>
        <v/>
      </c>
      <c r="P75" s="7" t="str">
        <f t="shared" si="61"/>
        <v/>
      </c>
      <c r="Q75" s="7" t="str">
        <f t="shared" si="61"/>
        <v/>
      </c>
      <c r="R75" s="7" t="str">
        <f t="shared" si="61"/>
        <v/>
      </c>
      <c r="S75" s="7" t="str">
        <f t="shared" si="61"/>
        <v/>
      </c>
      <c r="T75" s="7" t="str">
        <f t="shared" si="61"/>
        <v/>
      </c>
      <c r="U75" s="8" t="str">
        <f t="shared" si="61"/>
        <v/>
      </c>
    </row>
    <row r="76" spans="1:21" ht="75" outlineLevel="1">
      <c r="A76" s="210"/>
      <c r="B76" s="210"/>
      <c r="C76" s="21">
        <f t="shared" si="1"/>
        <v>3</v>
      </c>
      <c r="D76" s="7" t="str">
        <f t="shared" ref="D76:I76" si="62">IF($C35&gt;$C$45,D35,"")</f>
        <v>4.NF.B.3d</v>
      </c>
      <c r="E76" s="47" t="str">
        <f t="shared" si="62"/>
        <v>Solve word problems involving addition and subtraction of fractions referring to the same whole and having like denominators, e.g., by using visual fraction models and equations to represent the problem</v>
      </c>
      <c r="F76" s="76" t="b">
        <f t="shared" si="62"/>
        <v>1</v>
      </c>
      <c r="G76" s="76" t="b">
        <f t="shared" si="62"/>
        <v>1</v>
      </c>
      <c r="H76" s="76" t="b">
        <f t="shared" si="62"/>
        <v>1</v>
      </c>
      <c r="I76" s="76" t="b">
        <f t="shared" si="62"/>
        <v>0</v>
      </c>
      <c r="J76" s="7"/>
      <c r="K76" s="47" t="str">
        <f t="shared" si="10"/>
        <v>R-Connects to mulitplication and factors to determine common denominators in order to use operations of fractions in 5th grade.
E- This will continue through the next several grade levels in math
A- ACT Aspire, MAP</v>
      </c>
      <c r="L76" s="124" t="b">
        <v>0</v>
      </c>
      <c r="M76" s="7" t="str">
        <f t="shared" ref="M76:U76" si="63">IF($L76=TRUE,C76,"")</f>
        <v/>
      </c>
      <c r="N76" s="7" t="str">
        <f t="shared" si="63"/>
        <v/>
      </c>
      <c r="O76" s="7" t="str">
        <f t="shared" si="63"/>
        <v/>
      </c>
      <c r="P76" s="7" t="str">
        <f t="shared" si="63"/>
        <v/>
      </c>
      <c r="Q76" s="7" t="str">
        <f t="shared" si="63"/>
        <v/>
      </c>
      <c r="R76" s="7" t="str">
        <f t="shared" si="63"/>
        <v/>
      </c>
      <c r="S76" s="7" t="str">
        <f t="shared" si="63"/>
        <v/>
      </c>
      <c r="T76" s="7" t="str">
        <f t="shared" si="63"/>
        <v/>
      </c>
      <c r="U76" s="8" t="str">
        <f t="shared" si="63"/>
        <v/>
      </c>
    </row>
    <row r="77" spans="1:21" ht="75" outlineLevel="1">
      <c r="A77" s="210"/>
      <c r="B77" s="210"/>
      <c r="C77" s="21">
        <f t="shared" si="1"/>
        <v>3</v>
      </c>
      <c r="D77" s="7" t="str">
        <f t="shared" ref="D77:I77" si="64">IF($C36&gt;$C$45,D36,"")</f>
        <v>4.NF.B.4</v>
      </c>
      <c r="E77" s="47" t="str">
        <f t="shared" si="64"/>
        <v>Apply and extend previous understandings of multiplication to multiply a fraction by a whole number.</v>
      </c>
      <c r="F77" s="76" t="b">
        <f t="shared" si="64"/>
        <v>1</v>
      </c>
      <c r="G77" s="76" t="b">
        <f t="shared" si="64"/>
        <v>1</v>
      </c>
      <c r="H77" s="76" t="b">
        <f t="shared" si="64"/>
        <v>1</v>
      </c>
      <c r="I77" s="76" t="b">
        <f t="shared" si="64"/>
        <v>0</v>
      </c>
      <c r="J77" s="7"/>
      <c r="K77" s="47" t="str">
        <f t="shared" si="10"/>
        <v>R-Connects to mulitplication and factors to determine common denominators in order to use operations of fractions in 5th grade.
E- This will continue through the next several grade levels in math
A- ACT Aspire, MAP</v>
      </c>
      <c r="L77" s="123" t="b">
        <v>1</v>
      </c>
      <c r="M77" s="7">
        <f t="shared" ref="M77:U77" si="65">IF($L77=TRUE,C77,"")</f>
        <v>3</v>
      </c>
      <c r="N77" s="7" t="str">
        <f t="shared" si="65"/>
        <v>4.NF.B.4</v>
      </c>
      <c r="O77" s="7" t="str">
        <f t="shared" si="65"/>
        <v>Apply and extend previous understandings of multiplication to multiply a fraction by a whole number.</v>
      </c>
      <c r="P77" s="7" t="b">
        <f t="shared" si="65"/>
        <v>1</v>
      </c>
      <c r="Q77" s="7" t="b">
        <f t="shared" si="65"/>
        <v>1</v>
      </c>
      <c r="R77" s="7" t="b">
        <f t="shared" si="65"/>
        <v>1</v>
      </c>
      <c r="S77" s="7" t="b">
        <f t="shared" si="65"/>
        <v>0</v>
      </c>
      <c r="T77" s="7">
        <f t="shared" si="65"/>
        <v>0</v>
      </c>
      <c r="U77" s="8" t="str">
        <f t="shared" si="65"/>
        <v>R-Connects to mulitplication and factors to determine common denominators in order to use operations of fractions in 5th grade.
E- This will continue through the next several grade levels in math
A- ACT Aspire, MAP</v>
      </c>
    </row>
    <row r="78" spans="1:21" ht="75" outlineLevel="1">
      <c r="A78" s="210"/>
      <c r="B78" s="210"/>
      <c r="C78" s="21">
        <f t="shared" si="1"/>
        <v>3</v>
      </c>
      <c r="D78" s="7" t="str">
        <f t="shared" ref="D78:I78" si="66">IF($C37&gt;$C$45,D37,"")</f>
        <v>4.NF.B.4a</v>
      </c>
      <c r="E78" s="47" t="str">
        <f t="shared" si="66"/>
        <v>Understand a fraction a/b as a multiple of 1/b. For example, use a visual fraction model to represent 5/4 as the product 5 × (1/4), recording the conclusion by the equation 5/4 = 5 × (1/4).</v>
      </c>
      <c r="F78" s="76" t="b">
        <f t="shared" si="66"/>
        <v>1</v>
      </c>
      <c r="G78" s="76" t="b">
        <f t="shared" si="66"/>
        <v>1</v>
      </c>
      <c r="H78" s="76" t="b">
        <f t="shared" si="66"/>
        <v>1</v>
      </c>
      <c r="I78" s="76" t="b">
        <f t="shared" si="66"/>
        <v>0</v>
      </c>
      <c r="J78" s="7"/>
      <c r="K78" s="47" t="str">
        <f t="shared" si="10"/>
        <v>R-Connects to mulitplication and factors to determine common denominators in order to use operations of fractions in 5th grade.
E- This will continue through the next several grade levels in math
A- ACT Aspire, MAP</v>
      </c>
      <c r="L78" s="123" t="b">
        <v>0</v>
      </c>
      <c r="M78" s="7" t="str">
        <f t="shared" ref="M78:U78" si="67">IF($L78=TRUE,C78,"")</f>
        <v/>
      </c>
      <c r="N78" s="7" t="str">
        <f t="shared" si="67"/>
        <v/>
      </c>
      <c r="O78" s="7" t="str">
        <f t="shared" si="67"/>
        <v/>
      </c>
      <c r="P78" s="7" t="str">
        <f t="shared" si="67"/>
        <v/>
      </c>
      <c r="Q78" s="7" t="str">
        <f t="shared" si="67"/>
        <v/>
      </c>
      <c r="R78" s="7" t="str">
        <f t="shared" si="67"/>
        <v/>
      </c>
      <c r="S78" s="7" t="str">
        <f t="shared" si="67"/>
        <v/>
      </c>
      <c r="T78" s="7" t="str">
        <f t="shared" si="67"/>
        <v/>
      </c>
      <c r="U78" s="8" t="str">
        <f t="shared" si="67"/>
        <v/>
      </c>
    </row>
    <row r="79" spans="1:21" ht="75" outlineLevel="1">
      <c r="A79" s="210"/>
      <c r="B79" s="210"/>
      <c r="C79" s="21">
        <f t="shared" si="1"/>
        <v>3</v>
      </c>
      <c r="D79" s="7" t="str">
        <f t="shared" ref="D79:I79" si="68">IF($C38&gt;$C$45,D38,"")</f>
        <v>4.NF.B.4b</v>
      </c>
      <c r="E79" s="47" t="str">
        <f t="shared" si="68"/>
        <v>Understand a multiple of a/b as a multiple of 1/b, and use this understanding to multiply a fraction by a whole number. For example, use a visual fraction model to express 3 × (2/5) as 6 × (1/5), recognizing this product as 6/5. (In general, n × (a/b) = (n × a)/b.)</v>
      </c>
      <c r="F79" s="76" t="b">
        <f t="shared" si="68"/>
        <v>1</v>
      </c>
      <c r="G79" s="76" t="b">
        <f t="shared" si="68"/>
        <v>1</v>
      </c>
      <c r="H79" s="76" t="b">
        <f t="shared" si="68"/>
        <v>1</v>
      </c>
      <c r="I79" s="76" t="b">
        <f t="shared" si="68"/>
        <v>0</v>
      </c>
      <c r="J79" s="7"/>
      <c r="K79" s="47" t="str">
        <f t="shared" si="10"/>
        <v>R-Connects to mulitplication and factors to determine common denominators in order to use operations of fractions in 5th grade.
E- This will continue through the next several grade levels in math
A- ACT Aspire, MAP</v>
      </c>
      <c r="L79" s="124" t="b">
        <v>0</v>
      </c>
      <c r="M79" s="7" t="str">
        <f t="shared" ref="M79:U79" si="69">IF($L79=TRUE,C79,"")</f>
        <v/>
      </c>
      <c r="N79" s="7" t="str">
        <f t="shared" si="69"/>
        <v/>
      </c>
      <c r="O79" s="7" t="str">
        <f t="shared" si="69"/>
        <v/>
      </c>
      <c r="P79" s="7" t="str">
        <f t="shared" si="69"/>
        <v/>
      </c>
      <c r="Q79" s="7" t="str">
        <f t="shared" si="69"/>
        <v/>
      </c>
      <c r="R79" s="7" t="str">
        <f t="shared" si="69"/>
        <v/>
      </c>
      <c r="S79" s="7" t="str">
        <f t="shared" si="69"/>
        <v/>
      </c>
      <c r="T79" s="7" t="str">
        <f t="shared" si="69"/>
        <v/>
      </c>
      <c r="U79" s="8" t="str">
        <f t="shared" si="69"/>
        <v/>
      </c>
    </row>
    <row r="80" spans="1:21" ht="87.5" outlineLevel="1">
      <c r="A80" s="210"/>
      <c r="B80" s="211"/>
      <c r="C80" s="27">
        <f t="shared" si="1"/>
        <v>3</v>
      </c>
      <c r="D80" s="7" t="str">
        <f t="shared" ref="D80:I80" si="70">IF($C39&gt;$C$45,D39,"")</f>
        <v>4.NF.B.4c</v>
      </c>
      <c r="E80" s="47" t="str">
        <f t="shared" si="70"/>
        <v>Solve word problems involving multiplication of a fraction by a whole number, e.g., by using visual fraction models and equations to represent the problem. For example, if each person at a party will eat 3/8 of a pound of roast beef, and there will be 5 people at the party, how many pounds of roast beef will be needed? Between what two whole numbers does your answer lie?</v>
      </c>
      <c r="F80" s="76" t="b">
        <f t="shared" si="70"/>
        <v>1</v>
      </c>
      <c r="G80" s="76" t="b">
        <f t="shared" si="70"/>
        <v>1</v>
      </c>
      <c r="H80" s="76" t="b">
        <f t="shared" si="70"/>
        <v>1</v>
      </c>
      <c r="I80" s="76" t="b">
        <f t="shared" si="70"/>
        <v>0</v>
      </c>
      <c r="J80" s="7"/>
      <c r="K80" s="47" t="str">
        <f t="shared" si="10"/>
        <v>R-Connects to mulitplication and factors to determine common denominators in order to use operations of fractions in 5th grade.
E- This will continue through the next several grade levels in math
A- ACT Aspire, MAP</v>
      </c>
      <c r="L80" s="124" t="b">
        <v>0</v>
      </c>
      <c r="M80" s="7" t="str">
        <f t="shared" ref="M80:U80" si="71">IF($L80=TRUE,C80,"")</f>
        <v/>
      </c>
      <c r="N80" s="7" t="str">
        <f t="shared" si="71"/>
        <v/>
      </c>
      <c r="O80" s="7" t="str">
        <f t="shared" si="71"/>
        <v/>
      </c>
      <c r="P80" s="7" t="str">
        <f t="shared" si="71"/>
        <v/>
      </c>
      <c r="Q80" s="7" t="str">
        <f t="shared" si="71"/>
        <v/>
      </c>
      <c r="R80" s="7" t="str">
        <f t="shared" si="71"/>
        <v/>
      </c>
      <c r="S80" s="7" t="str">
        <f t="shared" si="71"/>
        <v/>
      </c>
      <c r="T80" s="7" t="str">
        <f t="shared" si="71"/>
        <v/>
      </c>
      <c r="U80" s="8" t="str">
        <f t="shared" si="71"/>
        <v/>
      </c>
    </row>
    <row r="81" spans="1:21" ht="87.5" outlineLevel="1">
      <c r="A81" s="210"/>
      <c r="B81" s="251" t="s">
        <v>501</v>
      </c>
      <c r="C81" s="21">
        <f t="shared" si="1"/>
        <v>3</v>
      </c>
      <c r="D81" s="7" t="str">
        <f t="shared" ref="D81:I81" si="72">IF($C40&gt;$C$45,D40,"")</f>
        <v>4.NF.C.5</v>
      </c>
      <c r="E81" s="47" t="str">
        <f t="shared" si="72"/>
        <v>Express a fraction with denominator 10 as an equivalent fraction with denominator 100, and use this technique to add two fractions with respective denominators 10 and 100. For example, express 3/10 as 30/100, and add 3/10 + 4/100 = 34/100.</v>
      </c>
      <c r="F81" s="76" t="b">
        <f t="shared" si="72"/>
        <v>1</v>
      </c>
      <c r="G81" s="76" t="b">
        <f t="shared" si="72"/>
        <v>1</v>
      </c>
      <c r="H81" s="76" t="b">
        <f t="shared" si="72"/>
        <v>1</v>
      </c>
      <c r="I81" s="76" t="b">
        <f t="shared" si="72"/>
        <v>0</v>
      </c>
      <c r="J81" s="7"/>
      <c r="K81" s="47" t="str">
        <f t="shared" si="10"/>
        <v>R-Connects to mulitplication and factors to determine common denominators, as well as decimals, in order to use operations of fractions in 5th grade.
E- This will continue through the next several grade levels in math
A- ACT Aspire, MAP</v>
      </c>
      <c r="L81" s="123" t="b">
        <v>0</v>
      </c>
      <c r="M81" s="7" t="str">
        <f t="shared" ref="M81:U81" si="73">IF($L81=TRUE,C81,"")</f>
        <v/>
      </c>
      <c r="N81" s="7" t="str">
        <f t="shared" si="73"/>
        <v/>
      </c>
      <c r="O81" s="7" t="str">
        <f t="shared" si="73"/>
        <v/>
      </c>
      <c r="P81" s="7" t="str">
        <f t="shared" si="73"/>
        <v/>
      </c>
      <c r="Q81" s="7" t="str">
        <f t="shared" si="73"/>
        <v/>
      </c>
      <c r="R81" s="7" t="str">
        <f t="shared" si="73"/>
        <v/>
      </c>
      <c r="S81" s="7" t="str">
        <f t="shared" si="73"/>
        <v/>
      </c>
      <c r="T81" s="7" t="str">
        <f t="shared" si="73"/>
        <v/>
      </c>
      <c r="U81" s="8" t="str">
        <f t="shared" si="73"/>
        <v/>
      </c>
    </row>
    <row r="82" spans="1:21" ht="50" outlineLevel="1">
      <c r="A82" s="210"/>
      <c r="B82" s="210"/>
      <c r="C82" s="21">
        <f t="shared" si="1"/>
        <v>3</v>
      </c>
      <c r="D82" s="7" t="str">
        <f t="shared" ref="D82:I82" si="74">IF($C41&gt;$C$45,D41,"")</f>
        <v>4.NF.C.6</v>
      </c>
      <c r="E82" s="47" t="str">
        <f t="shared" si="74"/>
        <v>Use decimal notation for fractions with denominators 10 or 100. For example, rewrite 0.62 as 62/100; describe a length as 0.62 meters; locate 0.62 on a number line diagram</v>
      </c>
      <c r="F82" s="76" t="b">
        <f t="shared" si="74"/>
        <v>1</v>
      </c>
      <c r="G82" s="76" t="b">
        <f t="shared" si="74"/>
        <v>1</v>
      </c>
      <c r="H82" s="76" t="b">
        <f t="shared" si="74"/>
        <v>1</v>
      </c>
      <c r="I82" s="76" t="b">
        <f t="shared" si="74"/>
        <v>0</v>
      </c>
      <c r="J82" s="7"/>
      <c r="K82" s="47" t="str">
        <f t="shared" si="10"/>
        <v>R-Connects to decimals in 5th grade.
E- This will continue through the next several grade levels in math
A- ACT Aspire, MAP</v>
      </c>
      <c r="L82" s="124" t="b">
        <v>0</v>
      </c>
      <c r="M82" s="7" t="str">
        <f t="shared" ref="M82:U82" si="75">IF($L82=TRUE,C82,"")</f>
        <v/>
      </c>
      <c r="N82" s="7" t="str">
        <f t="shared" si="75"/>
        <v/>
      </c>
      <c r="O82" s="7" t="str">
        <f t="shared" si="75"/>
        <v/>
      </c>
      <c r="P82" s="7" t="str">
        <f t="shared" si="75"/>
        <v/>
      </c>
      <c r="Q82" s="7" t="str">
        <f t="shared" si="75"/>
        <v/>
      </c>
      <c r="R82" s="7" t="str">
        <f t="shared" si="75"/>
        <v/>
      </c>
      <c r="S82" s="7" t="str">
        <f t="shared" si="75"/>
        <v/>
      </c>
      <c r="T82" s="7" t="str">
        <f t="shared" si="75"/>
        <v/>
      </c>
      <c r="U82" s="8" t="str">
        <f t="shared" si="75"/>
        <v/>
      </c>
    </row>
    <row r="83" spans="1:21" ht="62.5" outlineLevel="1">
      <c r="A83" s="211"/>
      <c r="B83" s="211"/>
      <c r="C83" s="21">
        <f t="shared" si="1"/>
        <v>3</v>
      </c>
      <c r="D83" s="7" t="str">
        <f t="shared" ref="D83:I83" si="76">IF($C42&gt;$C$45,D42,"")</f>
        <v>4.NF.C.7</v>
      </c>
      <c r="E83" s="47" t="str">
        <f t="shared" si="76"/>
        <v>Compare two decimals to hundredths by reasoning about their size. Recognize that comparisons are valid only when the two decimals refer to the same whole. Record the results of comparisons with the symbols &gt;, =, or &lt;, and justify the conclusions, e.g., by using a visual model.</v>
      </c>
      <c r="F83" s="76" t="b">
        <f t="shared" si="76"/>
        <v>1</v>
      </c>
      <c r="G83" s="76" t="b">
        <f t="shared" si="76"/>
        <v>1</v>
      </c>
      <c r="H83" s="76" t="b">
        <f t="shared" si="76"/>
        <v>1</v>
      </c>
      <c r="I83" s="76" t="b">
        <f t="shared" si="76"/>
        <v>0</v>
      </c>
      <c r="J83" s="7"/>
      <c r="K83" s="47" t="str">
        <f t="shared" si="10"/>
        <v>R-Connects to decimals in 5th grade.
E- This will continue through the next several grade levels in math
A- ACT Aspire, MAP</v>
      </c>
      <c r="L83" s="123" t="b">
        <v>1</v>
      </c>
      <c r="M83" s="7">
        <f t="shared" ref="M83:U83" si="77">IF($L83=TRUE,C83,"")</f>
        <v>3</v>
      </c>
      <c r="N83" s="7" t="str">
        <f t="shared" si="77"/>
        <v>4.NF.C.7</v>
      </c>
      <c r="O83" s="7" t="str">
        <f t="shared" si="77"/>
        <v>Compare two decimals to hundredths by reasoning about their size. Recognize that comparisons are valid only when the two decimals refer to the same whole. Record the results of comparisons with the symbols &gt;, =, or &lt;, and justify the conclusions, e.g., by using a visual model.</v>
      </c>
      <c r="P83" s="7" t="b">
        <f t="shared" si="77"/>
        <v>1</v>
      </c>
      <c r="Q83" s="7" t="b">
        <f t="shared" si="77"/>
        <v>1</v>
      </c>
      <c r="R83" s="7" t="b">
        <f t="shared" si="77"/>
        <v>1</v>
      </c>
      <c r="S83" s="7" t="b">
        <f t="shared" si="77"/>
        <v>0</v>
      </c>
      <c r="T83" s="7">
        <f t="shared" si="77"/>
        <v>0</v>
      </c>
      <c r="U83" s="8" t="str">
        <f t="shared" si="77"/>
        <v>R-Connects to decimals in 5th grade.
E- This will continue through the next several grade levels in math
A- ACT Aspire, MAP</v>
      </c>
    </row>
  </sheetData>
  <mergeCells count="36">
    <mergeCell ref="B53:B55"/>
    <mergeCell ref="B70:B71"/>
    <mergeCell ref="B72:B80"/>
    <mergeCell ref="A53:A57"/>
    <mergeCell ref="A58:A60"/>
    <mergeCell ref="B58:B60"/>
    <mergeCell ref="A61:A69"/>
    <mergeCell ref="B61:B63"/>
    <mergeCell ref="B65:B69"/>
    <mergeCell ref="A70:A83"/>
    <mergeCell ref="B81:B83"/>
    <mergeCell ref="A45:B45"/>
    <mergeCell ref="A46:B46"/>
    <mergeCell ref="A47:A52"/>
    <mergeCell ref="B47:B49"/>
    <mergeCell ref="B50:B52"/>
    <mergeCell ref="F44:G44"/>
    <mergeCell ref="B9:B11"/>
    <mergeCell ref="B12:B14"/>
    <mergeCell ref="A17:A19"/>
    <mergeCell ref="B17:B19"/>
    <mergeCell ref="A20:A28"/>
    <mergeCell ref="B20:B22"/>
    <mergeCell ref="A29:A42"/>
    <mergeCell ref="A44:B44"/>
    <mergeCell ref="A12:A16"/>
    <mergeCell ref="B24:B28"/>
    <mergeCell ref="B29:B30"/>
    <mergeCell ref="B31:B39"/>
    <mergeCell ref="B40:B42"/>
    <mergeCell ref="A2:B2"/>
    <mergeCell ref="C2:K2"/>
    <mergeCell ref="A3:K3"/>
    <mergeCell ref="A4:B4"/>
    <mergeCell ref="A5:A11"/>
    <mergeCell ref="B5:B8"/>
  </mergeCells>
  <conditionalFormatting sqref="D44">
    <cfRule type="expression" dxfId="29" priority="1">
      <formula>D44&lt;=K44</formula>
    </cfRule>
  </conditionalFormatting>
  <conditionalFormatting sqref="D44">
    <cfRule type="expression" dxfId="28" priority="2">
      <formula>D44&gt;K44</formula>
    </cfRule>
  </conditionalFormatting>
  <conditionalFormatting sqref="L47">
    <cfRule type="expression" dxfId="27" priority="3">
      <formula>not</formula>
    </cfRule>
  </conditionalFormatting>
  <conditionalFormatting sqref="F47:I83">
    <cfRule type="cellIs" dxfId="26" priority="4" operator="equal">
      <formula>"TRUE"</formula>
    </cfRule>
  </conditionalFormatting>
  <conditionalFormatting sqref="F47:I83">
    <cfRule type="cellIs" dxfId="25" priority="5" operator="equal">
      <formula>"FALSE"</formula>
    </cfRule>
  </conditionalFormatting>
  <conditionalFormatting sqref="C5:C42 C47:C83">
    <cfRule type="cellIs" dxfId="24" priority="6" operator="equal">
      <formula>0</formula>
    </cfRule>
  </conditionalFormatting>
  <conditionalFormatting sqref="C5:C42 C47:C83">
    <cfRule type="cellIs" dxfId="23" priority="7" operator="equal">
      <formula>1</formula>
    </cfRule>
  </conditionalFormatting>
  <conditionalFormatting sqref="C5:C42 C47:C83">
    <cfRule type="cellIs" dxfId="22" priority="8" operator="equal">
      <formula>2</formula>
    </cfRule>
  </conditionalFormatting>
  <conditionalFormatting sqref="C5:C42 C47:C83">
    <cfRule type="cellIs" dxfId="21" priority="9" operator="equal">
      <formula>3</formula>
    </cfRule>
  </conditionalFormatting>
  <conditionalFormatting sqref="C5:C42 C47:C83">
    <cfRule type="cellIs" dxfId="20" priority="10" operator="equal">
      <formula>4</formula>
    </cfRule>
  </conditionalFormatting>
  <printOptions horizontalCentered="1" gridLines="1"/>
  <pageMargins left="0.7" right="0.7" top="0.75" bottom="0.75" header="0" footer="0"/>
  <pageSetup fitToHeight="0" pageOrder="overThenDown" orientation="portrait" cellComments="atEnd"/>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8E7CC3"/>
    <outlinePr summaryBelow="0" summaryRight="0"/>
  </sheetPr>
  <dimension ref="A1:U86"/>
  <sheetViews>
    <sheetView workbookViewId="0">
      <pane ySplit="4" topLeftCell="A5" activePane="bottomLeft" state="frozen"/>
      <selection pane="bottomLeft" activeCell="B6" sqref="B6"/>
    </sheetView>
  </sheetViews>
  <sheetFormatPr defaultColWidth="12.6328125" defaultRowHeight="15.75" customHeight="1" outlineLevelRow="1" outlineLevelCol="1"/>
  <cols>
    <col min="1" max="1" width="4.453125" customWidth="1"/>
    <col min="2" max="2" width="13.90625" customWidth="1"/>
    <col min="3" max="3" width="4.453125" customWidth="1"/>
    <col min="4" max="4" width="9.453125" customWidth="1"/>
    <col min="5" max="5" width="50.08984375" customWidth="1"/>
    <col min="6" max="9" width="2.6328125" customWidth="1"/>
    <col min="10" max="10" width="0.7265625" customWidth="1"/>
    <col min="11" max="11" width="37.6328125" customWidth="1"/>
    <col min="12" max="12" width="7.7265625" customWidth="1" collapsed="1"/>
    <col min="13" max="21" width="12.6328125" hidden="1" outlineLevel="1"/>
  </cols>
  <sheetData>
    <row r="1" spans="1:21" ht="4.5" customHeight="1">
      <c r="A1" s="5"/>
      <c r="B1" s="6"/>
      <c r="C1" s="6"/>
      <c r="D1" s="6"/>
      <c r="E1" s="125"/>
      <c r="F1" s="6"/>
      <c r="G1" s="6"/>
      <c r="H1" s="6"/>
      <c r="I1" s="6"/>
      <c r="J1" s="6"/>
      <c r="K1" s="126"/>
      <c r="L1" s="7"/>
      <c r="M1" s="7"/>
      <c r="N1" s="7"/>
      <c r="O1" s="7"/>
      <c r="P1" s="7"/>
      <c r="Q1" s="7"/>
      <c r="R1" s="7"/>
      <c r="S1" s="7"/>
      <c r="T1" s="7"/>
      <c r="U1" s="7"/>
    </row>
    <row r="2" spans="1:21" ht="13" outlineLevel="1">
      <c r="A2" s="202" t="s">
        <v>6</v>
      </c>
      <c r="B2" s="203"/>
      <c r="C2" s="230" t="s">
        <v>7</v>
      </c>
      <c r="D2" s="203"/>
      <c r="E2" s="203"/>
      <c r="F2" s="203"/>
      <c r="G2" s="203"/>
      <c r="H2" s="203"/>
      <c r="I2" s="203"/>
      <c r="J2" s="203"/>
      <c r="K2" s="203"/>
      <c r="L2" s="7"/>
      <c r="M2" s="7"/>
      <c r="N2" s="7"/>
      <c r="O2" s="7"/>
      <c r="P2" s="7"/>
      <c r="Q2" s="7"/>
      <c r="R2" s="7"/>
      <c r="S2" s="7"/>
      <c r="T2" s="7"/>
      <c r="U2" s="7"/>
    </row>
    <row r="3" spans="1:21" ht="12.5">
      <c r="A3" s="248" t="s">
        <v>510</v>
      </c>
      <c r="B3" s="203"/>
      <c r="C3" s="203"/>
      <c r="D3" s="203"/>
      <c r="E3" s="203"/>
      <c r="F3" s="203"/>
      <c r="G3" s="203"/>
      <c r="H3" s="203"/>
      <c r="I3" s="203"/>
      <c r="J3" s="203"/>
      <c r="K3" s="206"/>
      <c r="L3" s="112"/>
      <c r="M3" s="112"/>
      <c r="N3" s="112"/>
      <c r="O3" s="112"/>
      <c r="P3" s="112"/>
      <c r="Q3" s="112"/>
      <c r="R3" s="112"/>
      <c r="S3" s="112"/>
      <c r="T3" s="112"/>
      <c r="U3" s="112"/>
    </row>
    <row r="4" spans="1:21" ht="26" outlineLevel="1">
      <c r="A4" s="249" t="s">
        <v>9</v>
      </c>
      <c r="B4" s="206"/>
      <c r="C4" s="110" t="s">
        <v>10</v>
      </c>
      <c r="D4" s="110" t="s">
        <v>11</v>
      </c>
      <c r="E4" s="53" t="s">
        <v>12</v>
      </c>
      <c r="F4" s="91" t="s">
        <v>13</v>
      </c>
      <c r="G4" s="91" t="s">
        <v>14</v>
      </c>
      <c r="H4" s="111" t="str">
        <f>HYPERLINK("https://www.gctsd.k12.ar.us/images/testing/aspire_summative_assessment_overview.pdf","A")</f>
        <v>A</v>
      </c>
      <c r="I4" s="91" t="s">
        <v>16</v>
      </c>
      <c r="J4" s="91"/>
      <c r="K4" s="91" t="s">
        <v>17</v>
      </c>
      <c r="L4" s="112"/>
      <c r="M4" s="112"/>
      <c r="N4" s="112"/>
      <c r="O4" s="112"/>
      <c r="P4" s="112"/>
      <c r="Q4" s="112"/>
      <c r="R4" s="112"/>
      <c r="S4" s="112"/>
      <c r="T4" s="112"/>
      <c r="U4" s="112"/>
    </row>
    <row r="5" spans="1:21" ht="37.5" outlineLevel="1">
      <c r="A5" s="240" t="s">
        <v>18</v>
      </c>
      <c r="B5" s="244" t="s">
        <v>511</v>
      </c>
      <c r="C5" s="21">
        <f t="shared" ref="C5:C43" si="0">COUNTIF(F5:I5,TRUE)</f>
        <v>1</v>
      </c>
      <c r="D5" s="112" t="s">
        <v>512</v>
      </c>
      <c r="E5" s="59" t="s">
        <v>513</v>
      </c>
      <c r="F5" s="127" t="b">
        <v>0</v>
      </c>
      <c r="G5" s="127" t="b">
        <v>1</v>
      </c>
      <c r="H5" s="127" t="b">
        <v>0</v>
      </c>
      <c r="I5" s="127" t="b">
        <v>0</v>
      </c>
      <c r="J5" s="128"/>
      <c r="K5" s="65" t="s">
        <v>514</v>
      </c>
      <c r="L5" s="112"/>
      <c r="M5" s="112"/>
      <c r="N5" s="112"/>
      <c r="O5" s="112"/>
      <c r="P5" s="112"/>
      <c r="Q5" s="112"/>
      <c r="R5" s="112"/>
      <c r="S5" s="112"/>
      <c r="T5" s="112"/>
      <c r="U5" s="112"/>
    </row>
    <row r="6" spans="1:21" ht="62.5" outlineLevel="1">
      <c r="A6" s="210"/>
      <c r="B6" s="210"/>
      <c r="C6" s="21">
        <f t="shared" si="0"/>
        <v>2</v>
      </c>
      <c r="D6" s="112" t="s">
        <v>515</v>
      </c>
      <c r="E6" s="59" t="s">
        <v>516</v>
      </c>
      <c r="F6" s="127" t="b">
        <v>0</v>
      </c>
      <c r="G6" s="127" t="b">
        <v>1</v>
      </c>
      <c r="H6" s="127" t="b">
        <v>1</v>
      </c>
      <c r="I6" s="127" t="b">
        <v>0</v>
      </c>
      <c r="J6" s="128"/>
      <c r="K6" s="65" t="s">
        <v>517</v>
      </c>
      <c r="L6" s="112"/>
      <c r="M6" s="112"/>
      <c r="N6" s="112"/>
      <c r="O6" s="112"/>
      <c r="P6" s="112"/>
      <c r="Q6" s="112"/>
      <c r="R6" s="112"/>
      <c r="S6" s="112"/>
      <c r="T6" s="112"/>
      <c r="U6" s="112"/>
    </row>
    <row r="7" spans="1:21" ht="13" outlineLevel="1">
      <c r="A7" s="210"/>
      <c r="B7" s="210"/>
      <c r="C7" s="21">
        <f t="shared" si="0"/>
        <v>1</v>
      </c>
      <c r="D7" s="112" t="s">
        <v>518</v>
      </c>
      <c r="E7" s="59" t="s">
        <v>519</v>
      </c>
      <c r="F7" s="127" t="b">
        <v>0</v>
      </c>
      <c r="G7" s="127" t="b">
        <v>0</v>
      </c>
      <c r="H7" s="127" t="b">
        <v>1</v>
      </c>
      <c r="I7" s="129" t="b">
        <v>0</v>
      </c>
      <c r="J7" s="128"/>
      <c r="K7" s="65" t="s">
        <v>520</v>
      </c>
      <c r="L7" s="112"/>
      <c r="M7" s="112"/>
      <c r="N7" s="112"/>
      <c r="O7" s="112"/>
      <c r="P7" s="112"/>
      <c r="Q7" s="112"/>
      <c r="R7" s="112"/>
      <c r="S7" s="112"/>
      <c r="T7" s="112"/>
      <c r="U7" s="112"/>
    </row>
    <row r="8" spans="1:21" ht="50" outlineLevel="1">
      <c r="A8" s="210"/>
      <c r="B8" s="210"/>
      <c r="C8" s="21">
        <f t="shared" si="0"/>
        <v>1</v>
      </c>
      <c r="D8" s="112" t="s">
        <v>521</v>
      </c>
      <c r="E8" s="59" t="s">
        <v>522</v>
      </c>
      <c r="F8" s="127" t="b">
        <v>0</v>
      </c>
      <c r="G8" s="129" t="b">
        <v>0</v>
      </c>
      <c r="H8" s="127" t="b">
        <v>1</v>
      </c>
      <c r="I8" s="129" t="b">
        <v>0</v>
      </c>
      <c r="J8" s="128"/>
      <c r="K8" s="65" t="s">
        <v>523</v>
      </c>
      <c r="L8" s="112"/>
      <c r="M8" s="112"/>
      <c r="N8" s="112"/>
      <c r="O8" s="112"/>
      <c r="P8" s="112"/>
      <c r="Q8" s="112"/>
      <c r="R8" s="112"/>
      <c r="S8" s="112"/>
      <c r="T8" s="112"/>
      <c r="U8" s="112"/>
    </row>
    <row r="9" spans="1:21" ht="37.5" outlineLevel="1">
      <c r="A9" s="210"/>
      <c r="B9" s="210"/>
      <c r="C9" s="21">
        <f t="shared" si="0"/>
        <v>1</v>
      </c>
      <c r="D9" s="112" t="s">
        <v>524</v>
      </c>
      <c r="E9" s="59" t="s">
        <v>525</v>
      </c>
      <c r="F9" s="127" t="b">
        <v>0</v>
      </c>
      <c r="G9" s="127" t="b">
        <v>1</v>
      </c>
      <c r="H9" s="127" t="b">
        <v>0</v>
      </c>
      <c r="I9" s="129" t="b">
        <v>0</v>
      </c>
      <c r="J9" s="128"/>
      <c r="K9" s="65" t="s">
        <v>526</v>
      </c>
      <c r="L9" s="112"/>
      <c r="M9" s="112"/>
      <c r="N9" s="112"/>
      <c r="O9" s="112"/>
      <c r="P9" s="112"/>
      <c r="Q9" s="112"/>
      <c r="R9" s="112"/>
      <c r="S9" s="112"/>
      <c r="T9" s="112"/>
      <c r="U9" s="112"/>
    </row>
    <row r="10" spans="1:21" ht="25" outlineLevel="1">
      <c r="A10" s="210"/>
      <c r="B10" s="211"/>
      <c r="C10" s="27">
        <f t="shared" si="0"/>
        <v>1</v>
      </c>
      <c r="D10" s="118" t="s">
        <v>527</v>
      </c>
      <c r="E10" s="30" t="s">
        <v>528</v>
      </c>
      <c r="F10" s="130" t="b">
        <v>0</v>
      </c>
      <c r="G10" s="130" t="b">
        <v>0</v>
      </c>
      <c r="H10" s="130" t="b">
        <v>1</v>
      </c>
      <c r="I10" s="130" t="b">
        <v>0</v>
      </c>
      <c r="J10" s="131"/>
      <c r="K10" s="58" t="s">
        <v>529</v>
      </c>
      <c r="L10" s="112"/>
      <c r="M10" s="112"/>
      <c r="N10" s="112"/>
      <c r="O10" s="112"/>
      <c r="P10" s="112"/>
      <c r="Q10" s="112"/>
      <c r="R10" s="112"/>
      <c r="S10" s="112"/>
      <c r="T10" s="112"/>
      <c r="U10" s="112"/>
    </row>
    <row r="11" spans="1:21" ht="112.5" outlineLevel="1">
      <c r="A11" s="210"/>
      <c r="B11" s="234" t="s">
        <v>530</v>
      </c>
      <c r="C11" s="21">
        <f t="shared" si="0"/>
        <v>4</v>
      </c>
      <c r="D11" s="112" t="s">
        <v>531</v>
      </c>
      <c r="E11" s="59" t="s">
        <v>532</v>
      </c>
      <c r="F11" s="127" t="b">
        <v>1</v>
      </c>
      <c r="G11" s="127" t="b">
        <v>1</v>
      </c>
      <c r="H11" s="127" t="b">
        <v>1</v>
      </c>
      <c r="I11" s="127" t="b">
        <v>1</v>
      </c>
      <c r="J11" s="128"/>
      <c r="K11" s="65" t="s">
        <v>533</v>
      </c>
      <c r="L11" s="112"/>
      <c r="M11" s="112"/>
      <c r="N11" s="112"/>
      <c r="O11" s="112"/>
      <c r="P11" s="112"/>
      <c r="Q11" s="112"/>
      <c r="R11" s="112"/>
      <c r="S11" s="112"/>
      <c r="T11" s="112"/>
      <c r="U11" s="112"/>
    </row>
    <row r="12" spans="1:21" ht="112.5" outlineLevel="1">
      <c r="A12" s="210"/>
      <c r="B12" s="210"/>
      <c r="C12" s="21">
        <f t="shared" si="0"/>
        <v>4</v>
      </c>
      <c r="D12" s="112" t="s">
        <v>534</v>
      </c>
      <c r="E12" s="59" t="s">
        <v>535</v>
      </c>
      <c r="F12" s="127" t="b">
        <v>1</v>
      </c>
      <c r="G12" s="127" t="b">
        <v>1</v>
      </c>
      <c r="H12" s="127" t="b">
        <v>1</v>
      </c>
      <c r="I12" s="127" t="b">
        <v>1</v>
      </c>
      <c r="J12" s="128"/>
      <c r="K12" s="132" t="s">
        <v>536</v>
      </c>
      <c r="L12" s="112"/>
      <c r="M12" s="112"/>
      <c r="N12" s="112"/>
      <c r="O12" s="112"/>
      <c r="P12" s="112"/>
      <c r="Q12" s="112"/>
      <c r="R12" s="112"/>
      <c r="S12" s="112"/>
      <c r="T12" s="112"/>
      <c r="U12" s="112"/>
    </row>
    <row r="13" spans="1:21" ht="62.5" outlineLevel="1">
      <c r="A13" s="211"/>
      <c r="B13" s="211"/>
      <c r="C13" s="27">
        <f t="shared" si="0"/>
        <v>2</v>
      </c>
      <c r="D13" s="118" t="s">
        <v>537</v>
      </c>
      <c r="E13" s="30" t="s">
        <v>538</v>
      </c>
      <c r="F13" s="130" t="b">
        <v>0</v>
      </c>
      <c r="G13" s="130" t="b">
        <v>0</v>
      </c>
      <c r="H13" s="130" t="b">
        <v>1</v>
      </c>
      <c r="I13" s="130" t="b">
        <v>1</v>
      </c>
      <c r="J13" s="131"/>
      <c r="K13" s="65" t="s">
        <v>539</v>
      </c>
      <c r="L13" s="112"/>
      <c r="M13" s="112"/>
      <c r="N13" s="112"/>
      <c r="O13" s="112"/>
      <c r="P13" s="112"/>
      <c r="Q13" s="112"/>
      <c r="R13" s="112"/>
      <c r="S13" s="112"/>
      <c r="T13" s="112"/>
      <c r="U13" s="112"/>
    </row>
    <row r="14" spans="1:21" ht="25" outlineLevel="1">
      <c r="A14" s="209" t="s">
        <v>23</v>
      </c>
      <c r="B14" s="228" t="s">
        <v>540</v>
      </c>
      <c r="C14" s="21">
        <f t="shared" si="0"/>
        <v>2</v>
      </c>
      <c r="D14" s="112" t="s">
        <v>541</v>
      </c>
      <c r="E14" s="59" t="s">
        <v>542</v>
      </c>
      <c r="F14" s="127" t="b">
        <v>0</v>
      </c>
      <c r="G14" s="127" t="b">
        <v>1</v>
      </c>
      <c r="H14" s="127" t="b">
        <v>1</v>
      </c>
      <c r="I14" s="129" t="b">
        <v>0</v>
      </c>
      <c r="J14" s="128"/>
      <c r="K14" s="65" t="s">
        <v>543</v>
      </c>
      <c r="L14" s="112"/>
      <c r="M14" s="112"/>
      <c r="N14" s="112"/>
      <c r="O14" s="112"/>
      <c r="P14" s="112"/>
      <c r="Q14" s="112"/>
      <c r="R14" s="112"/>
      <c r="S14" s="112"/>
      <c r="T14" s="112"/>
      <c r="U14" s="112"/>
    </row>
    <row r="15" spans="1:21" ht="112.5" outlineLevel="1">
      <c r="A15" s="210"/>
      <c r="B15" s="211"/>
      <c r="C15" s="27">
        <f t="shared" si="0"/>
        <v>4</v>
      </c>
      <c r="D15" s="118" t="s">
        <v>544</v>
      </c>
      <c r="E15" s="30" t="s">
        <v>545</v>
      </c>
      <c r="F15" s="130" t="b">
        <v>1</v>
      </c>
      <c r="G15" s="130" t="b">
        <v>1</v>
      </c>
      <c r="H15" s="130" t="b">
        <v>1</v>
      </c>
      <c r="I15" s="130" t="b">
        <v>1</v>
      </c>
      <c r="J15" s="131"/>
      <c r="K15" s="65" t="s">
        <v>546</v>
      </c>
      <c r="L15" s="112"/>
      <c r="M15" s="112"/>
      <c r="N15" s="112"/>
      <c r="O15" s="112"/>
      <c r="P15" s="112"/>
      <c r="Q15" s="112"/>
      <c r="R15" s="112"/>
      <c r="S15" s="112"/>
      <c r="T15" s="112"/>
      <c r="U15" s="112"/>
    </row>
    <row r="16" spans="1:21" ht="125" outlineLevel="1">
      <c r="A16" s="211"/>
      <c r="B16" s="85" t="s">
        <v>547</v>
      </c>
      <c r="C16" s="27">
        <f t="shared" si="0"/>
        <v>1</v>
      </c>
      <c r="D16" s="118" t="s">
        <v>548</v>
      </c>
      <c r="E16" s="30" t="s">
        <v>549</v>
      </c>
      <c r="F16" s="130" t="b">
        <v>0</v>
      </c>
      <c r="G16" s="130" t="b">
        <v>0</v>
      </c>
      <c r="H16" s="130" t="b">
        <v>1</v>
      </c>
      <c r="I16" s="130" t="b">
        <v>0</v>
      </c>
      <c r="J16" s="131"/>
      <c r="K16" s="65" t="s">
        <v>550</v>
      </c>
      <c r="L16" s="112"/>
      <c r="M16" s="112"/>
      <c r="N16" s="112"/>
      <c r="O16" s="112"/>
      <c r="P16" s="112"/>
      <c r="Q16" s="112"/>
      <c r="R16" s="112"/>
      <c r="S16" s="112"/>
      <c r="T16" s="112"/>
      <c r="U16" s="112"/>
    </row>
    <row r="17" spans="1:21" ht="137.5" outlineLevel="1">
      <c r="A17" s="215" t="s">
        <v>39</v>
      </c>
      <c r="B17" s="220" t="s">
        <v>551</v>
      </c>
      <c r="C17" s="21">
        <f t="shared" si="0"/>
        <v>3</v>
      </c>
      <c r="D17" s="112" t="s">
        <v>552</v>
      </c>
      <c r="E17" s="59" t="s">
        <v>553</v>
      </c>
      <c r="F17" s="127" t="b">
        <v>1</v>
      </c>
      <c r="G17" s="127" t="b">
        <v>1</v>
      </c>
      <c r="H17" s="127" t="b">
        <v>1</v>
      </c>
      <c r="I17" s="127" t="b">
        <v>0</v>
      </c>
      <c r="J17" s="128"/>
      <c r="K17" s="65" t="s">
        <v>554</v>
      </c>
      <c r="L17" s="112"/>
      <c r="M17" s="112"/>
      <c r="N17" s="112"/>
      <c r="O17" s="112"/>
      <c r="P17" s="112"/>
      <c r="Q17" s="112"/>
      <c r="R17" s="112"/>
      <c r="S17" s="112"/>
      <c r="T17" s="112"/>
      <c r="U17" s="112"/>
    </row>
    <row r="18" spans="1:21" ht="50" outlineLevel="1">
      <c r="A18" s="210"/>
      <c r="B18" s="211"/>
      <c r="C18" s="27">
        <f t="shared" si="0"/>
        <v>1</v>
      </c>
      <c r="D18" s="118" t="s">
        <v>555</v>
      </c>
      <c r="E18" s="30" t="s">
        <v>556</v>
      </c>
      <c r="F18" s="130" t="b">
        <v>0</v>
      </c>
      <c r="G18" s="130" t="b">
        <v>0</v>
      </c>
      <c r="H18" s="130" t="b">
        <v>1</v>
      </c>
      <c r="I18" s="130" t="b">
        <v>0</v>
      </c>
      <c r="J18" s="131"/>
      <c r="K18" s="58" t="s">
        <v>557</v>
      </c>
      <c r="L18" s="112"/>
      <c r="M18" s="112"/>
      <c r="N18" s="112"/>
      <c r="O18" s="112"/>
      <c r="P18" s="112"/>
      <c r="Q18" s="112"/>
      <c r="R18" s="112"/>
      <c r="S18" s="112"/>
      <c r="T18" s="112"/>
      <c r="U18" s="112"/>
    </row>
    <row r="19" spans="1:21" ht="62.5" outlineLevel="1">
      <c r="A19" s="210"/>
      <c r="B19" s="220" t="s">
        <v>558</v>
      </c>
      <c r="C19" s="21">
        <f t="shared" si="0"/>
        <v>2</v>
      </c>
      <c r="D19" s="112" t="s">
        <v>559</v>
      </c>
      <c r="E19" s="59" t="s">
        <v>560</v>
      </c>
      <c r="F19" s="127" t="b">
        <v>0</v>
      </c>
      <c r="G19" s="127" t="b">
        <v>1</v>
      </c>
      <c r="H19" s="127" t="b">
        <v>1</v>
      </c>
      <c r="I19" s="129" t="b">
        <v>0</v>
      </c>
      <c r="J19" s="128"/>
      <c r="K19" s="65" t="s">
        <v>561</v>
      </c>
      <c r="L19" s="112"/>
      <c r="M19" s="112"/>
      <c r="N19" s="112"/>
      <c r="O19" s="112"/>
      <c r="P19" s="112"/>
      <c r="Q19" s="112"/>
      <c r="R19" s="112"/>
      <c r="S19" s="112"/>
      <c r="T19" s="112"/>
      <c r="U19" s="112"/>
    </row>
    <row r="20" spans="1:21" ht="28.5" customHeight="1" outlineLevel="1">
      <c r="A20" s="211"/>
      <c r="B20" s="211"/>
      <c r="C20" s="27">
        <f t="shared" si="0"/>
        <v>2</v>
      </c>
      <c r="D20" s="118" t="s">
        <v>562</v>
      </c>
      <c r="E20" s="30" t="s">
        <v>563</v>
      </c>
      <c r="F20" s="130" t="b">
        <v>0</v>
      </c>
      <c r="G20" s="130" t="b">
        <v>1</v>
      </c>
      <c r="H20" s="130" t="b">
        <v>1</v>
      </c>
      <c r="I20" s="133" t="b">
        <v>0</v>
      </c>
      <c r="J20" s="131"/>
      <c r="K20" s="65" t="s">
        <v>564</v>
      </c>
      <c r="L20" s="112"/>
      <c r="M20" s="112"/>
      <c r="N20" s="112"/>
      <c r="O20" s="112"/>
      <c r="P20" s="112"/>
      <c r="Q20" s="112"/>
      <c r="R20" s="112"/>
      <c r="S20" s="112"/>
      <c r="T20" s="112"/>
      <c r="U20" s="112"/>
    </row>
    <row r="21" spans="1:21" ht="75" outlineLevel="1">
      <c r="A21" s="222" t="s">
        <v>57</v>
      </c>
      <c r="B21" s="122" t="s">
        <v>565</v>
      </c>
      <c r="C21" s="27">
        <f t="shared" si="0"/>
        <v>2</v>
      </c>
      <c r="D21" s="118" t="s">
        <v>566</v>
      </c>
      <c r="E21" s="30" t="s">
        <v>567</v>
      </c>
      <c r="F21" s="130" t="b">
        <v>0</v>
      </c>
      <c r="G21" s="130" t="b">
        <v>1</v>
      </c>
      <c r="H21" s="130" t="b">
        <v>1</v>
      </c>
      <c r="I21" s="130" t="b">
        <v>0</v>
      </c>
      <c r="J21" s="131"/>
      <c r="K21" s="65" t="s">
        <v>568</v>
      </c>
      <c r="L21" s="112"/>
      <c r="M21" s="112"/>
      <c r="N21" s="112"/>
      <c r="O21" s="112"/>
      <c r="P21" s="112"/>
      <c r="Q21" s="112"/>
      <c r="R21" s="112"/>
      <c r="S21" s="112"/>
      <c r="T21" s="112"/>
      <c r="U21" s="112"/>
    </row>
    <row r="22" spans="1:21" ht="87.5" outlineLevel="1">
      <c r="A22" s="210"/>
      <c r="B22" s="31" t="s">
        <v>188</v>
      </c>
      <c r="C22" s="27">
        <f t="shared" si="0"/>
        <v>2</v>
      </c>
      <c r="D22" s="118" t="s">
        <v>569</v>
      </c>
      <c r="E22" s="30" t="s">
        <v>570</v>
      </c>
      <c r="F22" s="130" t="b">
        <v>0</v>
      </c>
      <c r="G22" s="130" t="b">
        <v>1</v>
      </c>
      <c r="H22" s="130" t="b">
        <v>1</v>
      </c>
      <c r="I22" s="130" t="b">
        <v>0</v>
      </c>
      <c r="J22" s="131"/>
      <c r="K22" s="58" t="s">
        <v>571</v>
      </c>
      <c r="L22" s="112"/>
      <c r="M22" s="112"/>
      <c r="N22" s="112"/>
      <c r="O22" s="112"/>
      <c r="P22" s="112"/>
      <c r="Q22" s="112"/>
      <c r="R22" s="112"/>
      <c r="S22" s="112"/>
      <c r="T22" s="112"/>
      <c r="U22" s="112"/>
    </row>
    <row r="23" spans="1:21" ht="50" outlineLevel="1">
      <c r="A23" s="210"/>
      <c r="B23" s="242" t="s">
        <v>572</v>
      </c>
      <c r="C23" s="21">
        <f t="shared" si="0"/>
        <v>2</v>
      </c>
      <c r="D23" s="112" t="s">
        <v>573</v>
      </c>
      <c r="E23" s="59" t="s">
        <v>574</v>
      </c>
      <c r="F23" s="127" t="b">
        <v>1</v>
      </c>
      <c r="G23" s="127" t="b">
        <v>1</v>
      </c>
      <c r="H23" s="127" t="b">
        <v>0</v>
      </c>
      <c r="I23" s="127" t="b">
        <v>0</v>
      </c>
      <c r="J23" s="128"/>
      <c r="K23" s="65" t="s">
        <v>575</v>
      </c>
      <c r="L23" s="112"/>
      <c r="M23" s="112"/>
      <c r="N23" s="112"/>
      <c r="O23" s="112"/>
      <c r="P23" s="112"/>
      <c r="Q23" s="112"/>
      <c r="R23" s="112"/>
      <c r="S23" s="112"/>
      <c r="T23" s="112"/>
      <c r="U23" s="112"/>
    </row>
    <row r="24" spans="1:21" ht="50" outlineLevel="1">
      <c r="A24" s="210"/>
      <c r="B24" s="210"/>
      <c r="C24" s="21">
        <f t="shared" si="0"/>
        <v>2</v>
      </c>
      <c r="D24" s="112" t="s">
        <v>576</v>
      </c>
      <c r="E24" s="59" t="s">
        <v>577</v>
      </c>
      <c r="F24" s="127" t="b">
        <v>1</v>
      </c>
      <c r="G24" s="127" t="b">
        <v>1</v>
      </c>
      <c r="H24" s="127" t="b">
        <v>0</v>
      </c>
      <c r="I24" s="127" t="b">
        <v>0</v>
      </c>
      <c r="J24" s="128"/>
      <c r="K24" s="65" t="s">
        <v>575</v>
      </c>
      <c r="L24" s="112"/>
      <c r="M24" s="112"/>
      <c r="N24" s="112"/>
      <c r="O24" s="112"/>
      <c r="P24" s="112"/>
      <c r="Q24" s="112"/>
      <c r="R24" s="112"/>
      <c r="S24" s="112"/>
      <c r="T24" s="112"/>
      <c r="U24" s="112"/>
    </row>
    <row r="25" spans="1:21" ht="25" outlineLevel="1">
      <c r="A25" s="210"/>
      <c r="B25" s="210"/>
      <c r="C25" s="21">
        <f t="shared" si="0"/>
        <v>1</v>
      </c>
      <c r="D25" s="112" t="s">
        <v>578</v>
      </c>
      <c r="E25" s="59" t="s">
        <v>579</v>
      </c>
      <c r="F25" s="127" t="b">
        <v>0</v>
      </c>
      <c r="G25" s="127" t="b">
        <v>0</v>
      </c>
      <c r="H25" s="127" t="b">
        <v>1</v>
      </c>
      <c r="I25" s="127" t="b">
        <v>0</v>
      </c>
      <c r="J25" s="128"/>
      <c r="K25" s="65" t="s">
        <v>580</v>
      </c>
      <c r="L25" s="112"/>
      <c r="M25" s="112"/>
      <c r="N25" s="112"/>
      <c r="O25" s="112"/>
      <c r="P25" s="112"/>
      <c r="Q25" s="112"/>
      <c r="R25" s="112"/>
      <c r="S25" s="112"/>
      <c r="T25" s="112"/>
      <c r="U25" s="112"/>
    </row>
    <row r="26" spans="1:21" ht="25" outlineLevel="1">
      <c r="A26" s="210"/>
      <c r="B26" s="210"/>
      <c r="C26" s="21">
        <f t="shared" si="0"/>
        <v>1</v>
      </c>
      <c r="D26" s="112" t="s">
        <v>581</v>
      </c>
      <c r="E26" s="59" t="s">
        <v>582</v>
      </c>
      <c r="F26" s="127" t="b">
        <v>0</v>
      </c>
      <c r="G26" s="127" t="b">
        <v>0</v>
      </c>
      <c r="H26" s="127" t="b">
        <v>1</v>
      </c>
      <c r="I26" s="127" t="b">
        <v>0</v>
      </c>
      <c r="J26" s="128"/>
      <c r="K26" s="65" t="s">
        <v>583</v>
      </c>
      <c r="L26" s="112"/>
      <c r="M26" s="112"/>
      <c r="N26" s="112"/>
      <c r="O26" s="112"/>
      <c r="P26" s="112"/>
      <c r="Q26" s="112"/>
      <c r="R26" s="112"/>
      <c r="S26" s="112"/>
      <c r="T26" s="112"/>
      <c r="U26" s="112"/>
    </row>
    <row r="27" spans="1:21" ht="37.5" outlineLevel="1">
      <c r="A27" s="210"/>
      <c r="B27" s="210"/>
      <c r="C27" s="21">
        <f t="shared" si="0"/>
        <v>2</v>
      </c>
      <c r="D27" s="112" t="s">
        <v>584</v>
      </c>
      <c r="E27" s="134" t="s">
        <v>585</v>
      </c>
      <c r="F27" s="127" t="b">
        <v>0</v>
      </c>
      <c r="G27" s="127" t="b">
        <v>1</v>
      </c>
      <c r="H27" s="127" t="b">
        <v>1</v>
      </c>
      <c r="I27" s="127" t="b">
        <v>0</v>
      </c>
      <c r="J27" s="128"/>
      <c r="K27" s="65" t="s">
        <v>586</v>
      </c>
      <c r="L27" s="112"/>
      <c r="M27" s="112"/>
      <c r="N27" s="112"/>
      <c r="O27" s="112"/>
      <c r="P27" s="112"/>
      <c r="Q27" s="112"/>
      <c r="R27" s="112"/>
      <c r="S27" s="112"/>
      <c r="T27" s="112"/>
      <c r="U27" s="112"/>
    </row>
    <row r="28" spans="1:21" ht="87.5" outlineLevel="1">
      <c r="A28" s="210"/>
      <c r="B28" s="210"/>
      <c r="C28" s="21">
        <f t="shared" si="0"/>
        <v>2</v>
      </c>
      <c r="D28" s="112" t="s">
        <v>587</v>
      </c>
      <c r="E28" s="59" t="s">
        <v>588</v>
      </c>
      <c r="F28" s="127" t="b">
        <v>0</v>
      </c>
      <c r="G28" s="127" t="b">
        <v>1</v>
      </c>
      <c r="H28" s="127" t="b">
        <v>1</v>
      </c>
      <c r="I28" s="127" t="b">
        <v>0</v>
      </c>
      <c r="J28" s="128"/>
      <c r="K28" s="65" t="s">
        <v>589</v>
      </c>
      <c r="L28" s="112"/>
      <c r="M28" s="112"/>
      <c r="N28" s="112"/>
      <c r="O28" s="112"/>
      <c r="P28" s="112"/>
      <c r="Q28" s="112"/>
      <c r="R28" s="112"/>
      <c r="S28" s="112"/>
      <c r="T28" s="112"/>
      <c r="U28" s="112"/>
    </row>
    <row r="29" spans="1:21" ht="62.5" outlineLevel="1">
      <c r="A29" s="210"/>
      <c r="B29" s="210"/>
      <c r="C29" s="21">
        <f t="shared" si="0"/>
        <v>3</v>
      </c>
      <c r="D29" s="112" t="s">
        <v>590</v>
      </c>
      <c r="E29" s="59" t="s">
        <v>591</v>
      </c>
      <c r="F29" s="127" t="b">
        <v>1</v>
      </c>
      <c r="G29" s="127" t="b">
        <v>1</v>
      </c>
      <c r="H29" s="127" t="b">
        <v>1</v>
      </c>
      <c r="I29" s="127" t="b">
        <v>0</v>
      </c>
      <c r="J29" s="128"/>
      <c r="K29" s="65" t="s">
        <v>592</v>
      </c>
      <c r="L29" s="112"/>
      <c r="M29" s="112"/>
      <c r="N29" s="112"/>
      <c r="O29" s="112"/>
      <c r="P29" s="112"/>
      <c r="Q29" s="112"/>
      <c r="R29" s="112"/>
      <c r="S29" s="112"/>
      <c r="T29" s="112"/>
      <c r="U29" s="112"/>
    </row>
    <row r="30" spans="1:21" ht="50" outlineLevel="1">
      <c r="A30" s="211"/>
      <c r="B30" s="211"/>
      <c r="C30" s="27">
        <f t="shared" si="0"/>
        <v>1</v>
      </c>
      <c r="D30" s="118" t="s">
        <v>593</v>
      </c>
      <c r="E30" s="30" t="s">
        <v>594</v>
      </c>
      <c r="F30" s="130" t="b">
        <v>0</v>
      </c>
      <c r="G30" s="130" t="b">
        <v>1</v>
      </c>
      <c r="H30" s="130" t="b">
        <v>0</v>
      </c>
      <c r="I30" s="130" t="b">
        <v>0</v>
      </c>
      <c r="J30" s="131"/>
      <c r="K30" s="65" t="s">
        <v>595</v>
      </c>
      <c r="L30" s="112"/>
      <c r="M30" s="112"/>
      <c r="N30" s="112"/>
      <c r="O30" s="112"/>
      <c r="P30" s="112"/>
      <c r="Q30" s="112"/>
      <c r="R30" s="112"/>
      <c r="S30" s="112"/>
      <c r="T30" s="112"/>
      <c r="U30" s="112"/>
    </row>
    <row r="31" spans="1:21" ht="75" outlineLevel="1">
      <c r="A31" s="247" t="s">
        <v>368</v>
      </c>
      <c r="B31" s="246" t="s">
        <v>596</v>
      </c>
      <c r="C31" s="21">
        <f t="shared" si="0"/>
        <v>4</v>
      </c>
      <c r="D31" s="112" t="s">
        <v>597</v>
      </c>
      <c r="E31" s="59" t="s">
        <v>598</v>
      </c>
      <c r="F31" s="127" t="b">
        <v>1</v>
      </c>
      <c r="G31" s="127" t="b">
        <v>1</v>
      </c>
      <c r="H31" s="127" t="b">
        <v>1</v>
      </c>
      <c r="I31" s="127" t="b">
        <v>1</v>
      </c>
      <c r="J31" s="128"/>
      <c r="K31" s="65" t="s">
        <v>599</v>
      </c>
      <c r="L31" s="112"/>
      <c r="M31" s="112"/>
      <c r="N31" s="112"/>
      <c r="O31" s="112"/>
      <c r="P31" s="112"/>
      <c r="Q31" s="112"/>
      <c r="R31" s="112"/>
      <c r="S31" s="112"/>
      <c r="T31" s="112"/>
      <c r="U31" s="112"/>
    </row>
    <row r="32" spans="1:21" ht="100" outlineLevel="1">
      <c r="A32" s="210"/>
      <c r="B32" s="211"/>
      <c r="C32" s="27">
        <f t="shared" si="0"/>
        <v>4</v>
      </c>
      <c r="D32" s="118" t="s">
        <v>600</v>
      </c>
      <c r="E32" s="30" t="s">
        <v>601</v>
      </c>
      <c r="F32" s="130" t="b">
        <v>1</v>
      </c>
      <c r="G32" s="130" t="b">
        <v>1</v>
      </c>
      <c r="H32" s="130" t="b">
        <v>1</v>
      </c>
      <c r="I32" s="130" t="b">
        <v>1</v>
      </c>
      <c r="J32" s="131"/>
      <c r="K32" s="65" t="s">
        <v>602</v>
      </c>
      <c r="L32" s="112"/>
      <c r="M32" s="112"/>
      <c r="N32" s="112"/>
      <c r="O32" s="112"/>
      <c r="P32" s="112"/>
      <c r="Q32" s="112"/>
      <c r="R32" s="112"/>
      <c r="S32" s="112"/>
      <c r="T32" s="112"/>
      <c r="U32" s="112"/>
    </row>
    <row r="33" spans="1:21" ht="150" outlineLevel="1">
      <c r="A33" s="210"/>
      <c r="B33" s="250" t="s">
        <v>603</v>
      </c>
      <c r="C33" s="21">
        <f t="shared" si="0"/>
        <v>1</v>
      </c>
      <c r="D33" s="112" t="s">
        <v>604</v>
      </c>
      <c r="E33" s="59" t="s">
        <v>605</v>
      </c>
      <c r="F33" s="127" t="b">
        <v>1</v>
      </c>
      <c r="G33" s="127" t="b">
        <v>0</v>
      </c>
      <c r="H33" s="127" t="b">
        <v>0</v>
      </c>
      <c r="I33" s="127" t="b">
        <v>0</v>
      </c>
      <c r="J33" s="128"/>
      <c r="K33" s="135" t="s">
        <v>606</v>
      </c>
      <c r="L33" s="112"/>
      <c r="M33" s="112"/>
      <c r="N33" s="112"/>
      <c r="O33" s="112"/>
      <c r="P33" s="112"/>
      <c r="Q33" s="112"/>
      <c r="R33" s="112"/>
      <c r="S33" s="112"/>
      <c r="T33" s="112"/>
      <c r="U33" s="112"/>
    </row>
    <row r="34" spans="1:21" ht="37.5" outlineLevel="1">
      <c r="A34" s="210"/>
      <c r="B34" s="210"/>
      <c r="C34" s="21">
        <f t="shared" si="0"/>
        <v>1</v>
      </c>
      <c r="D34" s="112" t="s">
        <v>607</v>
      </c>
      <c r="E34" s="59" t="s">
        <v>608</v>
      </c>
      <c r="F34" s="127" t="b">
        <v>1</v>
      </c>
      <c r="G34" s="127" t="b">
        <v>0</v>
      </c>
      <c r="H34" s="127" t="b">
        <v>0</v>
      </c>
      <c r="I34" s="127" t="b">
        <v>0</v>
      </c>
      <c r="J34" s="128"/>
      <c r="K34" s="135" t="s">
        <v>606</v>
      </c>
      <c r="L34" s="112"/>
      <c r="M34" s="112"/>
      <c r="N34" s="112"/>
      <c r="O34" s="112"/>
      <c r="P34" s="112"/>
      <c r="Q34" s="112"/>
      <c r="R34" s="112"/>
      <c r="S34" s="112"/>
      <c r="T34" s="112"/>
      <c r="U34" s="112"/>
    </row>
    <row r="35" spans="1:21" ht="75" outlineLevel="1">
      <c r="A35" s="210"/>
      <c r="B35" s="210"/>
      <c r="C35" s="21">
        <f t="shared" si="0"/>
        <v>1</v>
      </c>
      <c r="D35" s="112" t="s">
        <v>609</v>
      </c>
      <c r="E35" s="59" t="s">
        <v>610</v>
      </c>
      <c r="F35" s="127" t="b">
        <v>0</v>
      </c>
      <c r="G35" s="127" t="b">
        <v>1</v>
      </c>
      <c r="H35" s="127" t="b">
        <v>0</v>
      </c>
      <c r="I35" s="127" t="b">
        <v>0</v>
      </c>
      <c r="J35" s="128"/>
      <c r="K35" s="135" t="s">
        <v>611</v>
      </c>
      <c r="L35" s="112"/>
      <c r="M35" s="112"/>
      <c r="N35" s="112"/>
      <c r="O35" s="112"/>
      <c r="P35" s="112"/>
      <c r="Q35" s="112"/>
      <c r="R35" s="112"/>
      <c r="S35" s="112"/>
      <c r="T35" s="112"/>
      <c r="U35" s="112"/>
    </row>
    <row r="36" spans="1:21" ht="75" outlineLevel="1">
      <c r="A36" s="210"/>
      <c r="B36" s="210"/>
      <c r="C36" s="21">
        <f t="shared" si="0"/>
        <v>2</v>
      </c>
      <c r="D36" s="112" t="s">
        <v>612</v>
      </c>
      <c r="E36" s="59" t="s">
        <v>613</v>
      </c>
      <c r="F36" s="127" t="b">
        <v>0</v>
      </c>
      <c r="G36" s="127" t="b">
        <v>1</v>
      </c>
      <c r="H36" s="127" t="b">
        <v>1</v>
      </c>
      <c r="I36" s="127" t="b">
        <v>0</v>
      </c>
      <c r="J36" s="65"/>
      <c r="K36" s="135" t="s">
        <v>614</v>
      </c>
      <c r="L36" s="112"/>
      <c r="M36" s="112"/>
      <c r="N36" s="112"/>
      <c r="O36" s="112"/>
      <c r="P36" s="112"/>
      <c r="Q36" s="112"/>
      <c r="R36" s="112"/>
      <c r="S36" s="112"/>
      <c r="T36" s="112"/>
      <c r="U36" s="112"/>
    </row>
    <row r="37" spans="1:21" ht="37.5" outlineLevel="1">
      <c r="A37" s="210"/>
      <c r="B37" s="210"/>
      <c r="C37" s="21">
        <f t="shared" si="0"/>
        <v>2</v>
      </c>
      <c r="D37" s="112" t="s">
        <v>615</v>
      </c>
      <c r="E37" s="59" t="s">
        <v>616</v>
      </c>
      <c r="F37" s="127" t="b">
        <v>0</v>
      </c>
      <c r="G37" s="127" t="b">
        <v>1</v>
      </c>
      <c r="H37" s="127" t="b">
        <v>1</v>
      </c>
      <c r="I37" s="127" t="b">
        <v>0</v>
      </c>
      <c r="J37" s="128"/>
      <c r="K37" s="135" t="s">
        <v>614</v>
      </c>
      <c r="L37" s="112"/>
      <c r="M37" s="112"/>
      <c r="N37" s="112"/>
      <c r="O37" s="112"/>
      <c r="P37" s="112"/>
      <c r="Q37" s="112"/>
      <c r="R37" s="112"/>
      <c r="S37" s="112"/>
      <c r="T37" s="112"/>
      <c r="U37" s="112"/>
    </row>
    <row r="38" spans="1:21" ht="100" outlineLevel="1">
      <c r="A38" s="210"/>
      <c r="B38" s="210"/>
      <c r="C38" s="21">
        <f t="shared" si="0"/>
        <v>1</v>
      </c>
      <c r="D38" s="112" t="s">
        <v>617</v>
      </c>
      <c r="E38" s="59" t="s">
        <v>618</v>
      </c>
      <c r="F38" s="127" t="b">
        <v>0</v>
      </c>
      <c r="G38" s="127" t="b">
        <v>1</v>
      </c>
      <c r="H38" s="127" t="b">
        <v>0</v>
      </c>
      <c r="I38" s="127" t="b">
        <v>0</v>
      </c>
      <c r="J38" s="128"/>
      <c r="K38" s="135" t="s">
        <v>611</v>
      </c>
      <c r="L38" s="112"/>
      <c r="M38" s="112"/>
      <c r="N38" s="112"/>
      <c r="O38" s="112"/>
      <c r="P38" s="112"/>
      <c r="Q38" s="112"/>
      <c r="R38" s="112"/>
      <c r="S38" s="112"/>
      <c r="T38" s="112"/>
      <c r="U38" s="112"/>
    </row>
    <row r="39" spans="1:21" ht="50" outlineLevel="1">
      <c r="A39" s="210"/>
      <c r="B39" s="210"/>
      <c r="C39" s="21">
        <f t="shared" si="0"/>
        <v>3</v>
      </c>
      <c r="D39" s="112" t="s">
        <v>619</v>
      </c>
      <c r="E39" s="59" t="s">
        <v>620</v>
      </c>
      <c r="F39" s="127" t="b">
        <v>1</v>
      </c>
      <c r="G39" s="127" t="b">
        <v>0</v>
      </c>
      <c r="H39" s="127" t="b">
        <v>1</v>
      </c>
      <c r="I39" s="127" t="b">
        <v>1</v>
      </c>
      <c r="J39" s="128"/>
      <c r="K39" s="65" t="s">
        <v>621</v>
      </c>
      <c r="L39" s="112"/>
      <c r="M39" s="112"/>
      <c r="N39" s="112"/>
      <c r="O39" s="112"/>
      <c r="P39" s="112"/>
      <c r="Q39" s="112"/>
      <c r="R39" s="112"/>
      <c r="S39" s="112"/>
      <c r="T39" s="112"/>
      <c r="U39" s="112"/>
    </row>
    <row r="40" spans="1:21" ht="50" outlineLevel="1">
      <c r="A40" s="210"/>
      <c r="B40" s="210"/>
      <c r="C40" s="21">
        <f t="shared" si="0"/>
        <v>3</v>
      </c>
      <c r="D40" s="112" t="s">
        <v>622</v>
      </c>
      <c r="E40" s="59" t="s">
        <v>623</v>
      </c>
      <c r="F40" s="127" t="b">
        <v>1</v>
      </c>
      <c r="G40" s="127" t="b">
        <v>0</v>
      </c>
      <c r="H40" s="127" t="b">
        <v>1</v>
      </c>
      <c r="I40" s="127" t="b">
        <v>1</v>
      </c>
      <c r="J40" s="128"/>
      <c r="K40" s="132" t="s">
        <v>624</v>
      </c>
      <c r="L40" s="112"/>
      <c r="M40" s="112"/>
      <c r="N40" s="112"/>
      <c r="O40" s="112"/>
      <c r="P40" s="112"/>
      <c r="Q40" s="112"/>
      <c r="R40" s="112"/>
      <c r="S40" s="112"/>
      <c r="T40" s="112"/>
      <c r="U40" s="112"/>
    </row>
    <row r="41" spans="1:21" ht="75" outlineLevel="1">
      <c r="A41" s="210"/>
      <c r="B41" s="210"/>
      <c r="C41" s="21">
        <f t="shared" si="0"/>
        <v>1</v>
      </c>
      <c r="D41" s="112" t="s">
        <v>625</v>
      </c>
      <c r="E41" s="59" t="s">
        <v>626</v>
      </c>
      <c r="F41" s="127" t="b">
        <v>0</v>
      </c>
      <c r="G41" s="127" t="b">
        <v>1</v>
      </c>
      <c r="H41" s="127" t="b">
        <v>0</v>
      </c>
      <c r="I41" s="127" t="b">
        <v>0</v>
      </c>
      <c r="J41" s="128"/>
      <c r="K41" s="135" t="s">
        <v>627</v>
      </c>
      <c r="L41" s="112"/>
      <c r="M41" s="112"/>
      <c r="N41" s="112"/>
      <c r="O41" s="112"/>
      <c r="P41" s="112"/>
      <c r="Q41" s="112"/>
      <c r="R41" s="112"/>
      <c r="S41" s="112"/>
      <c r="T41" s="112"/>
      <c r="U41" s="112"/>
    </row>
    <row r="42" spans="1:21" ht="75" outlineLevel="1">
      <c r="A42" s="210"/>
      <c r="B42" s="210"/>
      <c r="C42" s="21">
        <f t="shared" si="0"/>
        <v>1</v>
      </c>
      <c r="D42" s="112" t="s">
        <v>628</v>
      </c>
      <c r="E42" s="59" t="s">
        <v>629</v>
      </c>
      <c r="F42" s="127" t="b">
        <v>1</v>
      </c>
      <c r="G42" s="127" t="b">
        <v>0</v>
      </c>
      <c r="H42" s="127" t="b">
        <v>0</v>
      </c>
      <c r="I42" s="127" t="b">
        <v>0</v>
      </c>
      <c r="J42" s="128"/>
      <c r="K42" s="135" t="s">
        <v>630</v>
      </c>
      <c r="L42" s="112"/>
      <c r="M42" s="112"/>
      <c r="N42" s="112"/>
      <c r="O42" s="112"/>
      <c r="P42" s="112"/>
      <c r="Q42" s="112"/>
      <c r="R42" s="112"/>
      <c r="S42" s="112"/>
      <c r="T42" s="112"/>
      <c r="U42" s="112"/>
    </row>
    <row r="43" spans="1:21" ht="87.5" outlineLevel="1">
      <c r="A43" s="211"/>
      <c r="B43" s="211"/>
      <c r="C43" s="21">
        <f t="shared" si="0"/>
        <v>2</v>
      </c>
      <c r="D43" s="118" t="s">
        <v>631</v>
      </c>
      <c r="E43" s="30" t="s">
        <v>632</v>
      </c>
      <c r="F43" s="130" t="b">
        <v>0</v>
      </c>
      <c r="G43" s="130" t="b">
        <v>1</v>
      </c>
      <c r="H43" s="130" t="b">
        <v>1</v>
      </c>
      <c r="I43" s="130" t="b">
        <v>0</v>
      </c>
      <c r="J43" s="131"/>
      <c r="K43" s="135" t="s">
        <v>633</v>
      </c>
      <c r="L43" s="112"/>
      <c r="M43" s="112"/>
      <c r="N43" s="112"/>
      <c r="O43" s="112"/>
      <c r="P43" s="112"/>
      <c r="Q43" s="112"/>
      <c r="R43" s="112"/>
      <c r="S43" s="112"/>
      <c r="T43" s="112"/>
      <c r="U43" s="112"/>
    </row>
    <row r="44" spans="1:21" ht="12.5">
      <c r="A44" s="36"/>
      <c r="B44" s="36"/>
      <c r="C44" s="36"/>
      <c r="D44" s="36"/>
      <c r="E44" s="36"/>
      <c r="F44" s="36"/>
      <c r="G44" s="36"/>
      <c r="H44" s="36"/>
      <c r="I44" s="36"/>
      <c r="J44" s="36"/>
      <c r="K44" s="36"/>
      <c r="L44" s="112"/>
      <c r="M44" s="112"/>
      <c r="N44" s="112"/>
      <c r="O44" s="112"/>
      <c r="P44" s="112"/>
      <c r="Q44" s="112"/>
      <c r="R44" s="112"/>
      <c r="S44" s="112"/>
      <c r="T44" s="112"/>
      <c r="U44" s="112"/>
    </row>
    <row r="45" spans="1:21" ht="78" outlineLevel="1">
      <c r="A45" s="217" t="s">
        <v>6</v>
      </c>
      <c r="B45" s="218"/>
      <c r="C45" s="37" t="s">
        <v>102</v>
      </c>
      <c r="D45" s="38">
        <f>COUNTIF(L48:L86,TRUE)</f>
        <v>8</v>
      </c>
      <c r="E45" s="74" t="s">
        <v>103</v>
      </c>
      <c r="F45" s="219" t="s">
        <v>104</v>
      </c>
      <c r="G45" s="218"/>
      <c r="H45" s="40">
        <f ca="1">IFERROR(__xludf.DUMMYFUNCTION("COUNTUNIQUE(D5:D43)"),39)</f>
        <v>39</v>
      </c>
      <c r="I45" s="41" t="s">
        <v>105</v>
      </c>
      <c r="J45" s="42"/>
      <c r="K45" s="42">
        <f ca="1">H45/3</f>
        <v>13</v>
      </c>
      <c r="L45" s="43"/>
      <c r="M45" s="43"/>
      <c r="N45" s="43"/>
      <c r="O45" s="43"/>
      <c r="P45" s="43"/>
      <c r="Q45" s="43"/>
      <c r="R45" s="43"/>
      <c r="S45" s="43"/>
      <c r="T45" s="43"/>
      <c r="U45" s="43"/>
    </row>
    <row r="46" spans="1:21" ht="17.5" outlineLevel="1">
      <c r="A46" s="227" t="s">
        <v>106</v>
      </c>
      <c r="B46" s="203"/>
      <c r="C46" s="75">
        <v>2</v>
      </c>
      <c r="D46" s="7"/>
      <c r="E46" s="46" t="s">
        <v>107</v>
      </c>
      <c r="F46" s="7"/>
      <c r="G46" s="7"/>
      <c r="H46" s="7"/>
      <c r="I46" s="7"/>
      <c r="J46" s="7"/>
      <c r="K46" s="83"/>
      <c r="L46" s="112"/>
      <c r="M46" s="112"/>
      <c r="N46" s="112"/>
      <c r="O46" s="112"/>
      <c r="P46" s="112"/>
      <c r="Q46" s="112"/>
      <c r="R46" s="112"/>
      <c r="S46" s="112"/>
      <c r="T46" s="112"/>
      <c r="U46" s="112"/>
    </row>
    <row r="47" spans="1:21" ht="15.5" outlineLevel="1">
      <c r="A47" s="207" t="s">
        <v>9</v>
      </c>
      <c r="B47" s="208"/>
      <c r="C47" s="9" t="s">
        <v>10</v>
      </c>
      <c r="D47" s="10" t="s">
        <v>11</v>
      </c>
      <c r="E47" s="53" t="s">
        <v>12</v>
      </c>
      <c r="F47" s="9" t="s">
        <v>13</v>
      </c>
      <c r="G47" s="9" t="s">
        <v>14</v>
      </c>
      <c r="H47" s="9" t="s">
        <v>15</v>
      </c>
      <c r="I47" s="9" t="s">
        <v>16</v>
      </c>
      <c r="J47" s="9"/>
      <c r="K47" s="91" t="s">
        <v>17</v>
      </c>
      <c r="L47" s="10" t="s">
        <v>108</v>
      </c>
      <c r="M47" s="112"/>
      <c r="N47" s="112"/>
      <c r="O47" s="112"/>
      <c r="P47" s="112"/>
      <c r="Q47" s="112"/>
      <c r="R47" s="112"/>
      <c r="S47" s="112"/>
      <c r="T47" s="112"/>
      <c r="U47" s="112"/>
    </row>
    <row r="48" spans="1:21" ht="13" outlineLevel="1">
      <c r="A48" s="240" t="s">
        <v>18</v>
      </c>
      <c r="B48" s="244" t="s">
        <v>511</v>
      </c>
      <c r="C48" s="21">
        <f t="shared" ref="C48:C86" si="1">COUNTIF(F48:I48,TRUE)</f>
        <v>0</v>
      </c>
      <c r="D48" s="7" t="str">
        <f t="shared" ref="D48:I48" si="2">IF($C5&gt;$C$46,D5,"")</f>
        <v/>
      </c>
      <c r="E48" s="83" t="str">
        <f t="shared" si="2"/>
        <v/>
      </c>
      <c r="F48" s="76" t="str">
        <f t="shared" si="2"/>
        <v/>
      </c>
      <c r="G48" s="76" t="str">
        <f t="shared" si="2"/>
        <v/>
      </c>
      <c r="H48" s="76" t="str">
        <f t="shared" si="2"/>
        <v/>
      </c>
      <c r="I48" s="76" t="str">
        <f t="shared" si="2"/>
        <v/>
      </c>
      <c r="J48" s="7"/>
      <c r="K48" s="83" t="str">
        <f t="shared" ref="K48:K86" si="3">IF($C5&gt;$C$46,K5,"")</f>
        <v/>
      </c>
      <c r="L48" s="48" t="b">
        <v>0</v>
      </c>
      <c r="M48" s="7" t="str">
        <f t="shared" ref="M48:U48" si="4">IF($L48=TRUE,C48,"")</f>
        <v/>
      </c>
      <c r="N48" s="7" t="str">
        <f t="shared" si="4"/>
        <v/>
      </c>
      <c r="O48" s="7" t="str">
        <f t="shared" si="4"/>
        <v/>
      </c>
      <c r="P48" s="7" t="str">
        <f t="shared" si="4"/>
        <v/>
      </c>
      <c r="Q48" s="7" t="str">
        <f t="shared" si="4"/>
        <v/>
      </c>
      <c r="R48" s="7" t="str">
        <f t="shared" si="4"/>
        <v/>
      </c>
      <c r="S48" s="7" t="str">
        <f t="shared" si="4"/>
        <v/>
      </c>
      <c r="T48" s="7" t="str">
        <f t="shared" si="4"/>
        <v/>
      </c>
      <c r="U48" s="8" t="str">
        <f t="shared" si="4"/>
        <v/>
      </c>
    </row>
    <row r="49" spans="1:21" ht="13" outlineLevel="1">
      <c r="A49" s="210"/>
      <c r="B49" s="210"/>
      <c r="C49" s="21">
        <f t="shared" si="1"/>
        <v>0</v>
      </c>
      <c r="D49" s="7" t="str">
        <f t="shared" ref="D49:I49" si="5">IF($C6&gt;$C$46,D6,"")</f>
        <v/>
      </c>
      <c r="E49" s="83" t="str">
        <f t="shared" si="5"/>
        <v/>
      </c>
      <c r="F49" s="76" t="str">
        <f t="shared" si="5"/>
        <v/>
      </c>
      <c r="G49" s="76" t="str">
        <f t="shared" si="5"/>
        <v/>
      </c>
      <c r="H49" s="76" t="str">
        <f t="shared" si="5"/>
        <v/>
      </c>
      <c r="I49" s="76" t="str">
        <f t="shared" si="5"/>
        <v/>
      </c>
      <c r="J49" s="7"/>
      <c r="K49" s="83" t="str">
        <f t="shared" si="3"/>
        <v/>
      </c>
      <c r="L49" s="136" t="b">
        <v>0</v>
      </c>
      <c r="M49" s="7" t="str">
        <f t="shared" ref="M49:U49" si="6">IF($L49=TRUE,C49,"")</f>
        <v/>
      </c>
      <c r="N49" s="7" t="str">
        <f t="shared" si="6"/>
        <v/>
      </c>
      <c r="O49" s="7" t="str">
        <f t="shared" si="6"/>
        <v/>
      </c>
      <c r="P49" s="7" t="str">
        <f t="shared" si="6"/>
        <v/>
      </c>
      <c r="Q49" s="7" t="str">
        <f t="shared" si="6"/>
        <v/>
      </c>
      <c r="R49" s="7" t="str">
        <f t="shared" si="6"/>
        <v/>
      </c>
      <c r="S49" s="7" t="str">
        <f t="shared" si="6"/>
        <v/>
      </c>
      <c r="T49" s="7" t="str">
        <f t="shared" si="6"/>
        <v/>
      </c>
      <c r="U49" s="8" t="str">
        <f t="shared" si="6"/>
        <v/>
      </c>
    </row>
    <row r="50" spans="1:21" ht="13" outlineLevel="1">
      <c r="A50" s="210"/>
      <c r="B50" s="210"/>
      <c r="C50" s="21">
        <f t="shared" si="1"/>
        <v>0</v>
      </c>
      <c r="D50" s="7" t="str">
        <f t="shared" ref="D50:I50" si="7">IF($C7&gt;$C$46,D7,"")</f>
        <v/>
      </c>
      <c r="E50" s="83" t="str">
        <f t="shared" si="7"/>
        <v/>
      </c>
      <c r="F50" s="76" t="str">
        <f t="shared" si="7"/>
        <v/>
      </c>
      <c r="G50" s="76" t="str">
        <f t="shared" si="7"/>
        <v/>
      </c>
      <c r="H50" s="76" t="str">
        <f t="shared" si="7"/>
        <v/>
      </c>
      <c r="I50" s="76" t="str">
        <f t="shared" si="7"/>
        <v/>
      </c>
      <c r="J50" s="7"/>
      <c r="K50" s="83" t="str">
        <f t="shared" si="3"/>
        <v/>
      </c>
      <c r="L50" s="136" t="b">
        <v>0</v>
      </c>
      <c r="M50" s="7" t="str">
        <f t="shared" ref="M50:U50" si="8">IF($L50=TRUE,C50,"")</f>
        <v/>
      </c>
      <c r="N50" s="7" t="str">
        <f t="shared" si="8"/>
        <v/>
      </c>
      <c r="O50" s="7" t="str">
        <f t="shared" si="8"/>
        <v/>
      </c>
      <c r="P50" s="7" t="str">
        <f t="shared" si="8"/>
        <v/>
      </c>
      <c r="Q50" s="7" t="str">
        <f t="shared" si="8"/>
        <v/>
      </c>
      <c r="R50" s="7" t="str">
        <f t="shared" si="8"/>
        <v/>
      </c>
      <c r="S50" s="7" t="str">
        <f t="shared" si="8"/>
        <v/>
      </c>
      <c r="T50" s="7" t="str">
        <f t="shared" si="8"/>
        <v/>
      </c>
      <c r="U50" s="8" t="str">
        <f t="shared" si="8"/>
        <v/>
      </c>
    </row>
    <row r="51" spans="1:21" ht="13" outlineLevel="1">
      <c r="A51" s="210"/>
      <c r="B51" s="210"/>
      <c r="C51" s="21">
        <f t="shared" si="1"/>
        <v>0</v>
      </c>
      <c r="D51" s="7" t="str">
        <f t="shared" ref="D51:I51" si="9">IF($C8&gt;$C$46,D8,"")</f>
        <v/>
      </c>
      <c r="E51" s="83" t="str">
        <f t="shared" si="9"/>
        <v/>
      </c>
      <c r="F51" s="76" t="str">
        <f t="shared" si="9"/>
        <v/>
      </c>
      <c r="G51" s="76" t="str">
        <f t="shared" si="9"/>
        <v/>
      </c>
      <c r="H51" s="76" t="str">
        <f t="shared" si="9"/>
        <v/>
      </c>
      <c r="I51" s="76" t="str">
        <f t="shared" si="9"/>
        <v/>
      </c>
      <c r="J51" s="7"/>
      <c r="K51" s="83" t="str">
        <f t="shared" si="3"/>
        <v/>
      </c>
      <c r="L51" s="136" t="b">
        <v>0</v>
      </c>
      <c r="M51" s="7" t="str">
        <f t="shared" ref="M51:U51" si="10">IF($L51=TRUE,C51,"")</f>
        <v/>
      </c>
      <c r="N51" s="7" t="str">
        <f t="shared" si="10"/>
        <v/>
      </c>
      <c r="O51" s="7" t="str">
        <f t="shared" si="10"/>
        <v/>
      </c>
      <c r="P51" s="7" t="str">
        <f t="shared" si="10"/>
        <v/>
      </c>
      <c r="Q51" s="7" t="str">
        <f t="shared" si="10"/>
        <v/>
      </c>
      <c r="R51" s="7" t="str">
        <f t="shared" si="10"/>
        <v/>
      </c>
      <c r="S51" s="7" t="str">
        <f t="shared" si="10"/>
        <v/>
      </c>
      <c r="T51" s="7" t="str">
        <f t="shared" si="10"/>
        <v/>
      </c>
      <c r="U51" s="8" t="str">
        <f t="shared" si="10"/>
        <v/>
      </c>
    </row>
    <row r="52" spans="1:21" ht="13" outlineLevel="1">
      <c r="A52" s="210"/>
      <c r="B52" s="210"/>
      <c r="C52" s="21">
        <f t="shared" si="1"/>
        <v>0</v>
      </c>
      <c r="D52" s="7" t="str">
        <f t="shared" ref="D52:I52" si="11">IF($C9&gt;$C$46,D9,"")</f>
        <v/>
      </c>
      <c r="E52" s="83" t="str">
        <f t="shared" si="11"/>
        <v/>
      </c>
      <c r="F52" s="76" t="str">
        <f t="shared" si="11"/>
        <v/>
      </c>
      <c r="G52" s="76" t="str">
        <f t="shared" si="11"/>
        <v/>
      </c>
      <c r="H52" s="76" t="str">
        <f t="shared" si="11"/>
        <v/>
      </c>
      <c r="I52" s="76" t="str">
        <f t="shared" si="11"/>
        <v/>
      </c>
      <c r="J52" s="7"/>
      <c r="K52" s="83" t="str">
        <f t="shared" si="3"/>
        <v/>
      </c>
      <c r="L52" s="48" t="b">
        <v>0</v>
      </c>
      <c r="M52" s="7" t="str">
        <f t="shared" ref="M52:U52" si="12">IF($L52=TRUE,C52,"")</f>
        <v/>
      </c>
      <c r="N52" s="7" t="str">
        <f t="shared" si="12"/>
        <v/>
      </c>
      <c r="O52" s="7" t="str">
        <f t="shared" si="12"/>
        <v/>
      </c>
      <c r="P52" s="7" t="str">
        <f t="shared" si="12"/>
        <v/>
      </c>
      <c r="Q52" s="7" t="str">
        <f t="shared" si="12"/>
        <v/>
      </c>
      <c r="R52" s="7" t="str">
        <f t="shared" si="12"/>
        <v/>
      </c>
      <c r="S52" s="7" t="str">
        <f t="shared" si="12"/>
        <v/>
      </c>
      <c r="T52" s="7" t="str">
        <f t="shared" si="12"/>
        <v/>
      </c>
      <c r="U52" s="8" t="str">
        <f t="shared" si="12"/>
        <v/>
      </c>
    </row>
    <row r="53" spans="1:21" ht="13" outlineLevel="1">
      <c r="A53" s="210"/>
      <c r="B53" s="211"/>
      <c r="C53" s="27">
        <f t="shared" si="1"/>
        <v>0</v>
      </c>
      <c r="D53" s="7" t="str">
        <f t="shared" ref="D53:I53" si="13">IF($C10&gt;$C$46,D10,"")</f>
        <v/>
      </c>
      <c r="E53" s="83" t="str">
        <f t="shared" si="13"/>
        <v/>
      </c>
      <c r="F53" s="76" t="str">
        <f t="shared" si="13"/>
        <v/>
      </c>
      <c r="G53" s="76" t="str">
        <f t="shared" si="13"/>
        <v/>
      </c>
      <c r="H53" s="76" t="str">
        <f t="shared" si="13"/>
        <v/>
      </c>
      <c r="I53" s="76" t="str">
        <f t="shared" si="13"/>
        <v/>
      </c>
      <c r="J53" s="7"/>
      <c r="K53" s="83" t="str">
        <f t="shared" si="3"/>
        <v/>
      </c>
      <c r="L53" s="136" t="b">
        <v>0</v>
      </c>
      <c r="M53" s="7" t="str">
        <f t="shared" ref="M53:U53" si="14">IF($L53=TRUE,C53,"")</f>
        <v/>
      </c>
      <c r="N53" s="7" t="str">
        <f t="shared" si="14"/>
        <v/>
      </c>
      <c r="O53" s="7" t="str">
        <f t="shared" si="14"/>
        <v/>
      </c>
      <c r="P53" s="7" t="str">
        <f t="shared" si="14"/>
        <v/>
      </c>
      <c r="Q53" s="7" t="str">
        <f t="shared" si="14"/>
        <v/>
      </c>
      <c r="R53" s="7" t="str">
        <f t="shared" si="14"/>
        <v/>
      </c>
      <c r="S53" s="7" t="str">
        <f t="shared" si="14"/>
        <v/>
      </c>
      <c r="T53" s="7" t="str">
        <f t="shared" si="14"/>
        <v/>
      </c>
      <c r="U53" s="8" t="str">
        <f t="shared" si="14"/>
        <v/>
      </c>
    </row>
    <row r="54" spans="1:21" ht="55.5" customHeight="1" outlineLevel="1">
      <c r="A54" s="210"/>
      <c r="B54" s="234" t="s">
        <v>530</v>
      </c>
      <c r="C54" s="21">
        <f t="shared" si="1"/>
        <v>4</v>
      </c>
      <c r="D54" s="7" t="str">
        <f t="shared" ref="D54:I54" si="15">IF($C11&gt;$C$46,D11,"")</f>
        <v>5.NBT.B.5</v>
      </c>
      <c r="E54" s="83" t="str">
        <f t="shared" si="15"/>
        <v>Fluently multiply multi-digit whole numbers using the standard algorithm</v>
      </c>
      <c r="F54" s="76" t="b">
        <f t="shared" si="15"/>
        <v>1</v>
      </c>
      <c r="G54" s="76" t="b">
        <f t="shared" si="15"/>
        <v>1</v>
      </c>
      <c r="H54" s="76" t="b">
        <f t="shared" si="15"/>
        <v>1</v>
      </c>
      <c r="I54" s="76" t="b">
        <f t="shared" si="15"/>
        <v>1</v>
      </c>
      <c r="J54" s="7"/>
      <c r="K54" s="83" t="str">
        <f t="shared" si="3"/>
        <v xml:space="preserve">R- Compute fluently with multidigit numbers and find common factors and multiples. (6.NS.B2-4) 
E- being able to compute fluently with multidigit numbers is a foundational skill. 
A- MAP and ACT Apire.
L- they will use this not only in their every day life, but they will also need it when computing data in science. </v>
      </c>
      <c r="L54" s="136" t="b">
        <v>1</v>
      </c>
      <c r="M54" s="7">
        <f t="shared" ref="M54:U54" si="16">IF($L54=TRUE,C54,"")</f>
        <v>4</v>
      </c>
      <c r="N54" s="7" t="str">
        <f t="shared" si="16"/>
        <v>5.NBT.B.5</v>
      </c>
      <c r="O54" s="7" t="str">
        <f t="shared" si="16"/>
        <v>Fluently multiply multi-digit whole numbers using the standard algorithm</v>
      </c>
      <c r="P54" s="7" t="b">
        <f t="shared" si="16"/>
        <v>1</v>
      </c>
      <c r="Q54" s="7" t="b">
        <f t="shared" si="16"/>
        <v>1</v>
      </c>
      <c r="R54" s="7" t="b">
        <f t="shared" si="16"/>
        <v>1</v>
      </c>
      <c r="S54" s="7" t="b">
        <f t="shared" si="16"/>
        <v>1</v>
      </c>
      <c r="T54" s="7">
        <f t="shared" si="16"/>
        <v>0</v>
      </c>
      <c r="U54" s="8" t="str">
        <f t="shared" si="16"/>
        <v xml:space="preserve">R- Compute fluently with multidigit numbers and find common factors and multiples. (6.NS.B2-4) 
E- being able to compute fluently with multidigit numbers is a foundational skill. 
A- MAP and ACT Apire.
L- they will use this not only in their every day life, but they will also need it when computing data in science. </v>
      </c>
    </row>
    <row r="55" spans="1:21" ht="66" customHeight="1" outlineLevel="1">
      <c r="A55" s="210"/>
      <c r="B55" s="210"/>
      <c r="C55" s="21">
        <f t="shared" si="1"/>
        <v>4</v>
      </c>
      <c r="D55" s="7" t="str">
        <f t="shared" ref="D55:I55" si="17">IF($C12&gt;$C$46,D12,"")</f>
        <v>5.NBT.B.6</v>
      </c>
      <c r="E55" s="83" t="str">
        <f t="shared" si="17"/>
        <v>Find whole-number quotients of whole numbers with up to four-digit dividends and two-digit divisors, using strategies based on place value, the properties of operations, and/or the relationship between multiplication and division. Illustrate and explain the calculation by using equations, rectangular arrays, and/or area models.</v>
      </c>
      <c r="F55" s="76" t="b">
        <f t="shared" si="17"/>
        <v>1</v>
      </c>
      <c r="G55" s="76" t="b">
        <f t="shared" si="17"/>
        <v>1</v>
      </c>
      <c r="H55" s="76" t="b">
        <f t="shared" si="17"/>
        <v>1</v>
      </c>
      <c r="I55" s="76" t="b">
        <f t="shared" si="17"/>
        <v>1</v>
      </c>
      <c r="J55" s="7"/>
      <c r="K55" s="83" t="str">
        <f t="shared" si="3"/>
        <v>R- Compute fluently with multidigit numbers and find common factors and multiples. (6.NS.B2-4) 
E- being able to compute fluently with multidigit numbers is a foundational skill. 
A- MAP and ACT Apire. 
L- they will use this not only in their every day life, but they will also need it when computing data in science.</v>
      </c>
      <c r="L55" s="48" t="b">
        <v>1</v>
      </c>
      <c r="M55" s="7">
        <f t="shared" ref="M55:U55" si="18">IF($L55=TRUE,C55,"")</f>
        <v>4</v>
      </c>
      <c r="N55" s="7" t="str">
        <f t="shared" si="18"/>
        <v>5.NBT.B.6</v>
      </c>
      <c r="O55" s="7" t="str">
        <f t="shared" si="18"/>
        <v>Find whole-number quotients of whole numbers with up to four-digit dividends and two-digit divisors, using strategies based on place value, the properties of operations, and/or the relationship between multiplication and division. Illustrate and explain the calculation by using equations, rectangular arrays, and/or area models.</v>
      </c>
      <c r="P55" s="7" t="b">
        <f t="shared" si="18"/>
        <v>1</v>
      </c>
      <c r="Q55" s="7" t="b">
        <f t="shared" si="18"/>
        <v>1</v>
      </c>
      <c r="R55" s="7" t="b">
        <f t="shared" si="18"/>
        <v>1</v>
      </c>
      <c r="S55" s="7" t="b">
        <f t="shared" si="18"/>
        <v>1</v>
      </c>
      <c r="T55" s="7">
        <f t="shared" si="18"/>
        <v>0</v>
      </c>
      <c r="U55" s="8" t="str">
        <f t="shared" si="18"/>
        <v>R- Compute fluently with multidigit numbers and find common factors and multiples. (6.NS.B2-4) 
E- being able to compute fluently with multidigit numbers is a foundational skill. 
A- MAP and ACT Apire. 
L- they will use this not only in their every day life, but they will also need it when computing data in science.</v>
      </c>
    </row>
    <row r="56" spans="1:21" ht="69.75" customHeight="1" outlineLevel="1">
      <c r="A56" s="211"/>
      <c r="B56" s="211"/>
      <c r="C56" s="27">
        <f t="shared" si="1"/>
        <v>0</v>
      </c>
      <c r="D56" s="7" t="str">
        <f t="shared" ref="D56:I56" si="19">IF($C13&gt;$C$46,D13,"")</f>
        <v/>
      </c>
      <c r="E56" s="83" t="str">
        <f t="shared" si="19"/>
        <v/>
      </c>
      <c r="F56" s="76" t="str">
        <f t="shared" si="19"/>
        <v/>
      </c>
      <c r="G56" s="76" t="str">
        <f t="shared" si="19"/>
        <v/>
      </c>
      <c r="H56" s="76" t="str">
        <f t="shared" si="19"/>
        <v/>
      </c>
      <c r="I56" s="76" t="str">
        <f t="shared" si="19"/>
        <v/>
      </c>
      <c r="J56" s="7"/>
      <c r="K56" s="83" t="str">
        <f t="shared" si="3"/>
        <v/>
      </c>
      <c r="L56" s="136" t="b">
        <v>0</v>
      </c>
      <c r="M56" s="7" t="str">
        <f t="shared" ref="M56:U56" si="20">IF($L56=TRUE,C56,"")</f>
        <v/>
      </c>
      <c r="N56" s="7" t="str">
        <f t="shared" si="20"/>
        <v/>
      </c>
      <c r="O56" s="7" t="str">
        <f t="shared" si="20"/>
        <v/>
      </c>
      <c r="P56" s="7" t="str">
        <f t="shared" si="20"/>
        <v/>
      </c>
      <c r="Q56" s="7" t="str">
        <f t="shared" si="20"/>
        <v/>
      </c>
      <c r="R56" s="7" t="str">
        <f t="shared" si="20"/>
        <v/>
      </c>
      <c r="S56" s="7" t="str">
        <f t="shared" si="20"/>
        <v/>
      </c>
      <c r="T56" s="7" t="str">
        <f t="shared" si="20"/>
        <v/>
      </c>
      <c r="U56" s="8" t="str">
        <f t="shared" si="20"/>
        <v/>
      </c>
    </row>
    <row r="57" spans="1:21" ht="43.5" customHeight="1" outlineLevel="1">
      <c r="A57" s="209" t="s">
        <v>23</v>
      </c>
      <c r="B57" s="228" t="s">
        <v>634</v>
      </c>
      <c r="C57" s="21">
        <f t="shared" si="1"/>
        <v>0</v>
      </c>
      <c r="D57" s="7" t="str">
        <f t="shared" ref="D57:I57" si="21">IF($C14&gt;$C$46,D14,"")</f>
        <v/>
      </c>
      <c r="E57" s="83" t="str">
        <f t="shared" si="21"/>
        <v/>
      </c>
      <c r="F57" s="76" t="str">
        <f t="shared" si="21"/>
        <v/>
      </c>
      <c r="G57" s="76" t="str">
        <f t="shared" si="21"/>
        <v/>
      </c>
      <c r="H57" s="76" t="str">
        <f t="shared" si="21"/>
        <v/>
      </c>
      <c r="I57" s="76" t="str">
        <f t="shared" si="21"/>
        <v/>
      </c>
      <c r="J57" s="7"/>
      <c r="K57" s="83" t="str">
        <f t="shared" si="3"/>
        <v/>
      </c>
      <c r="L57" s="136" t="b">
        <v>0</v>
      </c>
      <c r="M57" s="7" t="str">
        <f t="shared" ref="M57:U57" si="22">IF($L57=TRUE,C57,"")</f>
        <v/>
      </c>
      <c r="N57" s="7" t="str">
        <f t="shared" si="22"/>
        <v/>
      </c>
      <c r="O57" s="7" t="str">
        <f t="shared" si="22"/>
        <v/>
      </c>
      <c r="P57" s="7" t="str">
        <f t="shared" si="22"/>
        <v/>
      </c>
      <c r="Q57" s="7" t="str">
        <f t="shared" si="22"/>
        <v/>
      </c>
      <c r="R57" s="7" t="str">
        <f t="shared" si="22"/>
        <v/>
      </c>
      <c r="S57" s="7" t="str">
        <f t="shared" si="22"/>
        <v/>
      </c>
      <c r="T57" s="7" t="str">
        <f t="shared" si="22"/>
        <v/>
      </c>
      <c r="U57" s="8" t="str">
        <f t="shared" si="22"/>
        <v/>
      </c>
    </row>
    <row r="58" spans="1:21" ht="87.75" customHeight="1" outlineLevel="1">
      <c r="A58" s="210"/>
      <c r="B58" s="211"/>
      <c r="C58" s="27">
        <f t="shared" si="1"/>
        <v>4</v>
      </c>
      <c r="D58" s="7" t="str">
        <f t="shared" ref="D58:I58" si="23">IF($C15&gt;$C$46,D15,"")</f>
        <v>5.OA.A.2</v>
      </c>
      <c r="E58" s="83" t="str">
        <f t="shared" si="23"/>
        <v>Write simple expressions that record calculations with numbers, and interpret numerical expressions without evaluating them. For example, express the calculation “add 8 and 7, then multiply by 2” as 2 × (8 + 7). Recognize that 3 × (18932 + 921) is three times as large as 18932 + 921, without having to calculate the indicated sum or product.</v>
      </c>
      <c r="F58" s="76" t="b">
        <f t="shared" si="23"/>
        <v>1</v>
      </c>
      <c r="G58" s="76" t="b">
        <f t="shared" si="23"/>
        <v>1</v>
      </c>
      <c r="H58" s="76" t="b">
        <f t="shared" si="23"/>
        <v>1</v>
      </c>
      <c r="I58" s="76" t="b">
        <f t="shared" si="23"/>
        <v>1</v>
      </c>
      <c r="J58" s="7"/>
      <c r="K58" s="83" t="str">
        <f t="shared" si="3"/>
        <v>R- Apply the property of operations to generate equivalent expressions (6.EE.A.3) 
E- writing number sentences that represents their thinking is the first step in the justification process. 
A- ACT Aspire open response and multiple choice, MAP 
L- use in problem solving in other areas of math and science</v>
      </c>
      <c r="L58" s="136" t="b">
        <v>1</v>
      </c>
      <c r="M58" s="7">
        <f t="shared" ref="M58:U58" si="24">IF($L58=TRUE,C58,"")</f>
        <v>4</v>
      </c>
      <c r="N58" s="7" t="str">
        <f t="shared" si="24"/>
        <v>5.OA.A.2</v>
      </c>
      <c r="O58" s="7" t="str">
        <f t="shared" si="24"/>
        <v>Write simple expressions that record calculations with numbers, and interpret numerical expressions without evaluating them. For example, express the calculation “add 8 and 7, then multiply by 2” as 2 × (8 + 7). Recognize that 3 × (18932 + 921) is three times as large as 18932 + 921, without having to calculate the indicated sum or product.</v>
      </c>
      <c r="P58" s="7" t="b">
        <f t="shared" si="24"/>
        <v>1</v>
      </c>
      <c r="Q58" s="7" t="b">
        <f t="shared" si="24"/>
        <v>1</v>
      </c>
      <c r="R58" s="7" t="b">
        <f t="shared" si="24"/>
        <v>1</v>
      </c>
      <c r="S58" s="7" t="b">
        <f t="shared" si="24"/>
        <v>1</v>
      </c>
      <c r="T58" s="7">
        <f t="shared" si="24"/>
        <v>0</v>
      </c>
      <c r="U58" s="8" t="str">
        <f t="shared" si="24"/>
        <v>R- Apply the property of operations to generate equivalent expressions (6.EE.A.3) 
E- writing number sentences that represents their thinking is the first step in the justification process. 
A- ACT Aspire open response and multiple choice, MAP 
L- use in problem solving in other areas of math and science</v>
      </c>
    </row>
    <row r="59" spans="1:21" ht="117.75" customHeight="1" outlineLevel="1">
      <c r="A59" s="211"/>
      <c r="B59" s="85" t="s">
        <v>547</v>
      </c>
      <c r="C59" s="27">
        <f t="shared" si="1"/>
        <v>0</v>
      </c>
      <c r="D59" s="7" t="str">
        <f t="shared" ref="D59:I59" si="25">IF($C16&gt;$C$46,D16,"")</f>
        <v/>
      </c>
      <c r="E59" s="83" t="str">
        <f t="shared" si="25"/>
        <v/>
      </c>
      <c r="F59" s="76" t="str">
        <f t="shared" si="25"/>
        <v/>
      </c>
      <c r="G59" s="76" t="str">
        <f t="shared" si="25"/>
        <v/>
      </c>
      <c r="H59" s="76" t="str">
        <f t="shared" si="25"/>
        <v/>
      </c>
      <c r="I59" s="76" t="str">
        <f t="shared" si="25"/>
        <v/>
      </c>
      <c r="J59" s="7"/>
      <c r="K59" s="83" t="str">
        <f t="shared" si="3"/>
        <v/>
      </c>
      <c r="L59" s="48" t="b">
        <v>0</v>
      </c>
      <c r="M59" s="7" t="str">
        <f t="shared" ref="M59:U59" si="26">IF($L59=TRUE,C59,"")</f>
        <v/>
      </c>
      <c r="N59" s="7" t="str">
        <f t="shared" si="26"/>
        <v/>
      </c>
      <c r="O59" s="7" t="str">
        <f t="shared" si="26"/>
        <v/>
      </c>
      <c r="P59" s="7" t="str">
        <f t="shared" si="26"/>
        <v/>
      </c>
      <c r="Q59" s="7" t="str">
        <f t="shared" si="26"/>
        <v/>
      </c>
      <c r="R59" s="7" t="str">
        <f t="shared" si="26"/>
        <v/>
      </c>
      <c r="S59" s="7" t="str">
        <f t="shared" si="26"/>
        <v/>
      </c>
      <c r="T59" s="7" t="str">
        <f t="shared" si="26"/>
        <v/>
      </c>
      <c r="U59" s="8" t="str">
        <f t="shared" si="26"/>
        <v/>
      </c>
    </row>
    <row r="60" spans="1:21" ht="123.75" customHeight="1" outlineLevel="1">
      <c r="A60" s="215" t="s">
        <v>39</v>
      </c>
      <c r="B60" s="220" t="s">
        <v>551</v>
      </c>
      <c r="C60" s="21">
        <f t="shared" si="1"/>
        <v>3</v>
      </c>
      <c r="D60" s="7" t="str">
        <f t="shared" ref="D60:I60" si="27">IF($C17&gt;$C$46,D17,"")</f>
        <v>5.G.A.1</v>
      </c>
      <c r="E60" s="83" t="str">
        <f t="shared" si="27"/>
        <v>Use a pair of perpendicular number lines, called axes, to define a coordinate system, with the intersection of the lines (the origin) arranged to coincide with the 0 on each line and a given point in the plane located by using an ordered pair of numbers, called its coordinates. Understand that the first number indicates how far to travel from the origin in the direction of one axis, and the second number indicates how far to travel in the direction of the second axis, with the convention that the names of the two axes and the coordinates correspond (e.g., x-axis and x-coordinate, y-axis and y-coordinate).</v>
      </c>
      <c r="F60" s="76" t="b">
        <f t="shared" si="27"/>
        <v>1</v>
      </c>
      <c r="G60" s="76" t="b">
        <f t="shared" si="27"/>
        <v>1</v>
      </c>
      <c r="H60" s="76" t="b">
        <f t="shared" si="27"/>
        <v>1</v>
      </c>
      <c r="I60" s="76" t="b">
        <f t="shared" si="27"/>
        <v>0</v>
      </c>
      <c r="J60" s="7"/>
      <c r="K60" s="83" t="str">
        <f t="shared" si="3"/>
        <v>R- This standard is the basics of graphing points on a graph.
E- It will prepare students for work they will do in higher grades for x-and y-axis and quadrant work. 
A-Act Aspire and MAP</v>
      </c>
      <c r="L60" s="136" t="b">
        <v>1</v>
      </c>
      <c r="M60" s="7">
        <f t="shared" ref="M60:U60" si="28">IF($L60=TRUE,C60,"")</f>
        <v>3</v>
      </c>
      <c r="N60" s="7" t="str">
        <f t="shared" si="28"/>
        <v>5.G.A.1</v>
      </c>
      <c r="O60" s="7" t="str">
        <f t="shared" si="28"/>
        <v>Use a pair of perpendicular number lines, called axes, to define a coordinate system, with the intersection of the lines (the origin) arranged to coincide with the 0 on each line and a given point in the plane located by using an ordered pair of numbers, called its coordinates. Understand that the first number indicates how far to travel from the origin in the direction of one axis, and the second number indicates how far to travel in the direction of the second axis, with the convention that the names of the two axes and the coordinates correspond (e.g., x-axis and x-coordinate, y-axis and y-coordinate).</v>
      </c>
      <c r="P60" s="7" t="b">
        <f t="shared" si="28"/>
        <v>1</v>
      </c>
      <c r="Q60" s="7" t="b">
        <f t="shared" si="28"/>
        <v>1</v>
      </c>
      <c r="R60" s="7" t="b">
        <f t="shared" si="28"/>
        <v>1</v>
      </c>
      <c r="S60" s="7" t="b">
        <f t="shared" si="28"/>
        <v>0</v>
      </c>
      <c r="T60" s="7">
        <f t="shared" si="28"/>
        <v>0</v>
      </c>
      <c r="U60" s="8" t="str">
        <f t="shared" si="28"/>
        <v>R- This standard is the basics of graphing points on a graph.
E- It will prepare students for work they will do in higher grades for x-and y-axis and quadrant work. 
A-Act Aspire and MAP</v>
      </c>
    </row>
    <row r="61" spans="1:21" ht="58.5" customHeight="1" outlineLevel="1">
      <c r="A61" s="210"/>
      <c r="B61" s="211"/>
      <c r="C61" s="27">
        <f t="shared" si="1"/>
        <v>0</v>
      </c>
      <c r="D61" s="7" t="str">
        <f t="shared" ref="D61:I61" si="29">IF($C18&gt;$C$46,D18,"")</f>
        <v/>
      </c>
      <c r="E61" s="83" t="str">
        <f t="shared" si="29"/>
        <v/>
      </c>
      <c r="F61" s="76" t="str">
        <f t="shared" si="29"/>
        <v/>
      </c>
      <c r="G61" s="76" t="str">
        <f t="shared" si="29"/>
        <v/>
      </c>
      <c r="H61" s="76" t="str">
        <f t="shared" si="29"/>
        <v/>
      </c>
      <c r="I61" s="76" t="str">
        <f t="shared" si="29"/>
        <v/>
      </c>
      <c r="J61" s="7"/>
      <c r="K61" s="83" t="str">
        <f t="shared" si="3"/>
        <v/>
      </c>
      <c r="L61" s="136" t="b">
        <v>0</v>
      </c>
      <c r="M61" s="7" t="str">
        <f t="shared" ref="M61:U61" si="30">IF($L61=TRUE,C61,"")</f>
        <v/>
      </c>
      <c r="N61" s="7" t="str">
        <f t="shared" si="30"/>
        <v/>
      </c>
      <c r="O61" s="7" t="str">
        <f t="shared" si="30"/>
        <v/>
      </c>
      <c r="P61" s="7" t="str">
        <f t="shared" si="30"/>
        <v/>
      </c>
      <c r="Q61" s="7" t="str">
        <f t="shared" si="30"/>
        <v/>
      </c>
      <c r="R61" s="7" t="str">
        <f t="shared" si="30"/>
        <v/>
      </c>
      <c r="S61" s="7" t="str">
        <f t="shared" si="30"/>
        <v/>
      </c>
      <c r="T61" s="7" t="str">
        <f t="shared" si="30"/>
        <v/>
      </c>
      <c r="U61" s="8" t="str">
        <f t="shared" si="30"/>
        <v/>
      </c>
    </row>
    <row r="62" spans="1:21" ht="43.5" customHeight="1" outlineLevel="1">
      <c r="A62" s="210"/>
      <c r="B62" s="220" t="s">
        <v>558</v>
      </c>
      <c r="C62" s="21">
        <f t="shared" si="1"/>
        <v>0</v>
      </c>
      <c r="D62" s="7" t="str">
        <f t="shared" ref="D62:I62" si="31">IF($C19&gt;$C$46,D19,"")</f>
        <v/>
      </c>
      <c r="E62" s="83" t="str">
        <f t="shared" si="31"/>
        <v/>
      </c>
      <c r="F62" s="76" t="str">
        <f t="shared" si="31"/>
        <v/>
      </c>
      <c r="G62" s="76" t="str">
        <f t="shared" si="31"/>
        <v/>
      </c>
      <c r="H62" s="76" t="str">
        <f t="shared" si="31"/>
        <v/>
      </c>
      <c r="I62" s="76" t="str">
        <f t="shared" si="31"/>
        <v/>
      </c>
      <c r="J62" s="7"/>
      <c r="K62" s="83" t="str">
        <f t="shared" si="3"/>
        <v/>
      </c>
      <c r="L62" s="48" t="b">
        <v>0</v>
      </c>
      <c r="M62" s="7" t="str">
        <f t="shared" ref="M62:U62" si="32">IF($L62=TRUE,C62,"")</f>
        <v/>
      </c>
      <c r="N62" s="7" t="str">
        <f t="shared" si="32"/>
        <v/>
      </c>
      <c r="O62" s="7" t="str">
        <f t="shared" si="32"/>
        <v/>
      </c>
      <c r="P62" s="7" t="str">
        <f t="shared" si="32"/>
        <v/>
      </c>
      <c r="Q62" s="7" t="str">
        <f t="shared" si="32"/>
        <v/>
      </c>
      <c r="R62" s="7" t="str">
        <f t="shared" si="32"/>
        <v/>
      </c>
      <c r="S62" s="7" t="str">
        <f t="shared" si="32"/>
        <v/>
      </c>
      <c r="T62" s="7" t="str">
        <f t="shared" si="32"/>
        <v/>
      </c>
      <c r="U62" s="8" t="str">
        <f t="shared" si="32"/>
        <v/>
      </c>
    </row>
    <row r="63" spans="1:21" ht="43.5" customHeight="1" outlineLevel="1">
      <c r="A63" s="211"/>
      <c r="B63" s="211"/>
      <c r="C63" s="27">
        <f t="shared" si="1"/>
        <v>0</v>
      </c>
      <c r="D63" s="7" t="str">
        <f t="shared" ref="D63:I63" si="33">IF($C20&gt;$C$46,D20,"")</f>
        <v/>
      </c>
      <c r="E63" s="83" t="str">
        <f t="shared" si="33"/>
        <v/>
      </c>
      <c r="F63" s="76" t="str">
        <f t="shared" si="33"/>
        <v/>
      </c>
      <c r="G63" s="76" t="str">
        <f t="shared" si="33"/>
        <v/>
      </c>
      <c r="H63" s="76" t="str">
        <f t="shared" si="33"/>
        <v/>
      </c>
      <c r="I63" s="76" t="str">
        <f t="shared" si="33"/>
        <v/>
      </c>
      <c r="J63" s="7"/>
      <c r="K63" s="83" t="str">
        <f t="shared" si="3"/>
        <v/>
      </c>
      <c r="L63" s="136" t="b">
        <v>0</v>
      </c>
      <c r="M63" s="7" t="str">
        <f t="shared" ref="M63:U63" si="34">IF($L63=TRUE,C63,"")</f>
        <v/>
      </c>
      <c r="N63" s="7" t="str">
        <f t="shared" si="34"/>
        <v/>
      </c>
      <c r="O63" s="7" t="str">
        <f t="shared" si="34"/>
        <v/>
      </c>
      <c r="P63" s="7" t="str">
        <f t="shared" si="34"/>
        <v/>
      </c>
      <c r="Q63" s="7" t="str">
        <f t="shared" si="34"/>
        <v/>
      </c>
      <c r="R63" s="7" t="str">
        <f t="shared" si="34"/>
        <v/>
      </c>
      <c r="S63" s="7" t="str">
        <f t="shared" si="34"/>
        <v/>
      </c>
      <c r="T63" s="7" t="str">
        <f t="shared" si="34"/>
        <v/>
      </c>
      <c r="U63" s="8" t="str">
        <f t="shared" si="34"/>
        <v/>
      </c>
    </row>
    <row r="64" spans="1:21" ht="75" outlineLevel="1">
      <c r="A64" s="222" t="s">
        <v>57</v>
      </c>
      <c r="B64" s="122" t="s">
        <v>565</v>
      </c>
      <c r="C64" s="27">
        <f t="shared" si="1"/>
        <v>0</v>
      </c>
      <c r="D64" s="7" t="str">
        <f t="shared" ref="D64:I64" si="35">IF($C21&gt;$C$46,D21,"")</f>
        <v/>
      </c>
      <c r="E64" s="83" t="str">
        <f t="shared" si="35"/>
        <v/>
      </c>
      <c r="F64" s="76" t="str">
        <f t="shared" si="35"/>
        <v/>
      </c>
      <c r="G64" s="76" t="str">
        <f t="shared" si="35"/>
        <v/>
      </c>
      <c r="H64" s="76" t="str">
        <f t="shared" si="35"/>
        <v/>
      </c>
      <c r="I64" s="76" t="str">
        <f t="shared" si="35"/>
        <v/>
      </c>
      <c r="J64" s="7"/>
      <c r="K64" s="83" t="str">
        <f t="shared" si="3"/>
        <v/>
      </c>
      <c r="L64" s="136" t="b">
        <v>0</v>
      </c>
      <c r="M64" s="7" t="str">
        <f t="shared" ref="M64:U64" si="36">IF($L64=TRUE,C64,"")</f>
        <v/>
      </c>
      <c r="N64" s="7" t="str">
        <f t="shared" si="36"/>
        <v/>
      </c>
      <c r="O64" s="7" t="str">
        <f t="shared" si="36"/>
        <v/>
      </c>
      <c r="P64" s="7" t="str">
        <f t="shared" si="36"/>
        <v/>
      </c>
      <c r="Q64" s="7" t="str">
        <f t="shared" si="36"/>
        <v/>
      </c>
      <c r="R64" s="7" t="str">
        <f t="shared" si="36"/>
        <v/>
      </c>
      <c r="S64" s="7" t="str">
        <f t="shared" si="36"/>
        <v/>
      </c>
      <c r="T64" s="7" t="str">
        <f t="shared" si="36"/>
        <v/>
      </c>
      <c r="U64" s="8" t="str">
        <f t="shared" si="36"/>
        <v/>
      </c>
    </row>
    <row r="65" spans="1:21" ht="39.75" customHeight="1" outlineLevel="1">
      <c r="A65" s="210"/>
      <c r="B65" s="31" t="s">
        <v>188</v>
      </c>
      <c r="C65" s="27">
        <f t="shared" si="1"/>
        <v>0</v>
      </c>
      <c r="D65" s="7" t="str">
        <f t="shared" ref="D65:I65" si="37">IF($C22&gt;$C$46,D22,"")</f>
        <v/>
      </c>
      <c r="E65" s="83" t="str">
        <f t="shared" si="37"/>
        <v/>
      </c>
      <c r="F65" s="76" t="str">
        <f t="shared" si="37"/>
        <v/>
      </c>
      <c r="G65" s="76" t="str">
        <f t="shared" si="37"/>
        <v/>
      </c>
      <c r="H65" s="76" t="str">
        <f t="shared" si="37"/>
        <v/>
      </c>
      <c r="I65" s="76" t="str">
        <f t="shared" si="37"/>
        <v/>
      </c>
      <c r="J65" s="7"/>
      <c r="K65" s="83" t="str">
        <f t="shared" si="3"/>
        <v/>
      </c>
      <c r="L65" s="136" t="b">
        <v>0</v>
      </c>
      <c r="M65" s="7" t="str">
        <f t="shared" ref="M65:U65" si="38">IF($L65=TRUE,C65,"")</f>
        <v/>
      </c>
      <c r="N65" s="7" t="str">
        <f t="shared" si="38"/>
        <v/>
      </c>
      <c r="O65" s="7" t="str">
        <f t="shared" si="38"/>
        <v/>
      </c>
      <c r="P65" s="7" t="str">
        <f t="shared" si="38"/>
        <v/>
      </c>
      <c r="Q65" s="7" t="str">
        <f t="shared" si="38"/>
        <v/>
      </c>
      <c r="R65" s="7" t="str">
        <f t="shared" si="38"/>
        <v/>
      </c>
      <c r="S65" s="7" t="str">
        <f t="shared" si="38"/>
        <v/>
      </c>
      <c r="T65" s="7" t="str">
        <f t="shared" si="38"/>
        <v/>
      </c>
      <c r="U65" s="8" t="str">
        <f t="shared" si="38"/>
        <v/>
      </c>
    </row>
    <row r="66" spans="1:21" ht="13" outlineLevel="1">
      <c r="A66" s="210"/>
      <c r="B66" s="242" t="s">
        <v>572</v>
      </c>
      <c r="C66" s="21">
        <f t="shared" si="1"/>
        <v>0</v>
      </c>
      <c r="D66" s="7" t="str">
        <f t="shared" ref="D66:I66" si="39">IF($C23&gt;$C$46,D23,"")</f>
        <v/>
      </c>
      <c r="E66" s="83" t="str">
        <f t="shared" si="39"/>
        <v/>
      </c>
      <c r="F66" s="76" t="str">
        <f t="shared" si="39"/>
        <v/>
      </c>
      <c r="G66" s="76" t="str">
        <f t="shared" si="39"/>
        <v/>
      </c>
      <c r="H66" s="76" t="str">
        <f t="shared" si="39"/>
        <v/>
      </c>
      <c r="I66" s="76" t="str">
        <f t="shared" si="39"/>
        <v/>
      </c>
      <c r="J66" s="7"/>
      <c r="K66" s="83" t="str">
        <f t="shared" si="3"/>
        <v/>
      </c>
      <c r="L66" s="48" t="b">
        <v>0</v>
      </c>
      <c r="M66" s="7" t="str">
        <f t="shared" ref="M66:U66" si="40">IF($L66=TRUE,C66,"")</f>
        <v/>
      </c>
      <c r="N66" s="7" t="str">
        <f t="shared" si="40"/>
        <v/>
      </c>
      <c r="O66" s="7" t="str">
        <f t="shared" si="40"/>
        <v/>
      </c>
      <c r="P66" s="7" t="str">
        <f t="shared" si="40"/>
        <v/>
      </c>
      <c r="Q66" s="7" t="str">
        <f t="shared" si="40"/>
        <v/>
      </c>
      <c r="R66" s="7" t="str">
        <f t="shared" si="40"/>
        <v/>
      </c>
      <c r="S66" s="7" t="str">
        <f t="shared" si="40"/>
        <v/>
      </c>
      <c r="T66" s="7" t="str">
        <f t="shared" si="40"/>
        <v/>
      </c>
      <c r="U66" s="8" t="str">
        <f t="shared" si="40"/>
        <v/>
      </c>
    </row>
    <row r="67" spans="1:21" ht="13" outlineLevel="1">
      <c r="A67" s="210"/>
      <c r="B67" s="210"/>
      <c r="C67" s="21">
        <f t="shared" si="1"/>
        <v>0</v>
      </c>
      <c r="D67" s="7" t="str">
        <f t="shared" ref="D67:I67" si="41">IF($C24&gt;$C$46,D24,"")</f>
        <v/>
      </c>
      <c r="E67" s="83" t="str">
        <f t="shared" si="41"/>
        <v/>
      </c>
      <c r="F67" s="76" t="str">
        <f t="shared" si="41"/>
        <v/>
      </c>
      <c r="G67" s="76" t="str">
        <f t="shared" si="41"/>
        <v/>
      </c>
      <c r="H67" s="76" t="str">
        <f t="shared" si="41"/>
        <v/>
      </c>
      <c r="I67" s="76" t="str">
        <f t="shared" si="41"/>
        <v/>
      </c>
      <c r="J67" s="7"/>
      <c r="K67" s="83" t="str">
        <f t="shared" si="3"/>
        <v/>
      </c>
      <c r="L67" s="136" t="b">
        <v>0</v>
      </c>
      <c r="M67" s="7" t="str">
        <f t="shared" ref="M67:U67" si="42">IF($L67=TRUE,C67,"")</f>
        <v/>
      </c>
      <c r="N67" s="7" t="str">
        <f t="shared" si="42"/>
        <v/>
      </c>
      <c r="O67" s="7" t="str">
        <f t="shared" si="42"/>
        <v/>
      </c>
      <c r="P67" s="7" t="str">
        <f t="shared" si="42"/>
        <v/>
      </c>
      <c r="Q67" s="7" t="str">
        <f t="shared" si="42"/>
        <v/>
      </c>
      <c r="R67" s="7" t="str">
        <f t="shared" si="42"/>
        <v/>
      </c>
      <c r="S67" s="7" t="str">
        <f t="shared" si="42"/>
        <v/>
      </c>
      <c r="T67" s="7" t="str">
        <f t="shared" si="42"/>
        <v/>
      </c>
      <c r="U67" s="8" t="str">
        <f t="shared" si="42"/>
        <v/>
      </c>
    </row>
    <row r="68" spans="1:21" ht="13" outlineLevel="1">
      <c r="A68" s="210"/>
      <c r="B68" s="210"/>
      <c r="C68" s="21">
        <f t="shared" si="1"/>
        <v>0</v>
      </c>
      <c r="D68" s="7" t="str">
        <f t="shared" ref="D68:I68" si="43">IF($C25&gt;$C$46,D25,"")</f>
        <v/>
      </c>
      <c r="E68" s="83" t="str">
        <f t="shared" si="43"/>
        <v/>
      </c>
      <c r="F68" s="76" t="str">
        <f t="shared" si="43"/>
        <v/>
      </c>
      <c r="G68" s="76" t="str">
        <f t="shared" si="43"/>
        <v/>
      </c>
      <c r="H68" s="76" t="str">
        <f t="shared" si="43"/>
        <v/>
      </c>
      <c r="I68" s="76" t="str">
        <f t="shared" si="43"/>
        <v/>
      </c>
      <c r="J68" s="7"/>
      <c r="K68" s="83" t="str">
        <f t="shared" si="3"/>
        <v/>
      </c>
      <c r="L68" s="137" t="b">
        <v>0</v>
      </c>
      <c r="M68" s="7" t="str">
        <f t="shared" ref="M68:U68" si="44">IF($L68=TRUE,C68,"")</f>
        <v/>
      </c>
      <c r="N68" s="7" t="str">
        <f t="shared" si="44"/>
        <v/>
      </c>
      <c r="O68" s="7" t="str">
        <f t="shared" si="44"/>
        <v/>
      </c>
      <c r="P68" s="7" t="str">
        <f t="shared" si="44"/>
        <v/>
      </c>
      <c r="Q68" s="7" t="str">
        <f t="shared" si="44"/>
        <v/>
      </c>
      <c r="R68" s="7" t="str">
        <f t="shared" si="44"/>
        <v/>
      </c>
      <c r="S68" s="7" t="str">
        <f t="shared" si="44"/>
        <v/>
      </c>
      <c r="T68" s="7" t="str">
        <f t="shared" si="44"/>
        <v/>
      </c>
      <c r="U68" s="8" t="str">
        <f t="shared" si="44"/>
        <v/>
      </c>
    </row>
    <row r="69" spans="1:21" ht="13" outlineLevel="1">
      <c r="A69" s="210"/>
      <c r="B69" s="210"/>
      <c r="C69" s="21">
        <f t="shared" si="1"/>
        <v>0</v>
      </c>
      <c r="D69" s="7" t="str">
        <f t="shared" ref="D69:I69" si="45">IF($C26&gt;$C$46,D26,"")</f>
        <v/>
      </c>
      <c r="E69" s="83" t="str">
        <f t="shared" si="45"/>
        <v/>
      </c>
      <c r="F69" s="76" t="str">
        <f t="shared" si="45"/>
        <v/>
      </c>
      <c r="G69" s="76" t="str">
        <f t="shared" si="45"/>
        <v/>
      </c>
      <c r="H69" s="76" t="str">
        <f t="shared" si="45"/>
        <v/>
      </c>
      <c r="I69" s="76" t="str">
        <f t="shared" si="45"/>
        <v/>
      </c>
      <c r="J69" s="7"/>
      <c r="K69" s="83" t="str">
        <f t="shared" si="3"/>
        <v/>
      </c>
      <c r="L69" s="48" t="b">
        <v>0</v>
      </c>
      <c r="M69" s="7" t="str">
        <f t="shared" ref="M69:U69" si="46">IF($L69=TRUE,C69,"")</f>
        <v/>
      </c>
      <c r="N69" s="7" t="str">
        <f t="shared" si="46"/>
        <v/>
      </c>
      <c r="O69" s="7" t="str">
        <f t="shared" si="46"/>
        <v/>
      </c>
      <c r="P69" s="7" t="str">
        <f t="shared" si="46"/>
        <v/>
      </c>
      <c r="Q69" s="7" t="str">
        <f t="shared" si="46"/>
        <v/>
      </c>
      <c r="R69" s="7" t="str">
        <f t="shared" si="46"/>
        <v/>
      </c>
      <c r="S69" s="7" t="str">
        <f t="shared" si="46"/>
        <v/>
      </c>
      <c r="T69" s="7" t="str">
        <f t="shared" si="46"/>
        <v/>
      </c>
      <c r="U69" s="8" t="str">
        <f t="shared" si="46"/>
        <v/>
      </c>
    </row>
    <row r="70" spans="1:21" ht="13" outlineLevel="1">
      <c r="A70" s="210"/>
      <c r="B70" s="210"/>
      <c r="C70" s="21">
        <f t="shared" si="1"/>
        <v>0</v>
      </c>
      <c r="D70" s="7" t="str">
        <f t="shared" ref="D70:I70" si="47">IF($C27&gt;$C$46,D27,"")</f>
        <v/>
      </c>
      <c r="E70" s="83" t="str">
        <f t="shared" si="47"/>
        <v/>
      </c>
      <c r="F70" s="76" t="str">
        <f t="shared" si="47"/>
        <v/>
      </c>
      <c r="G70" s="76" t="str">
        <f t="shared" si="47"/>
        <v/>
      </c>
      <c r="H70" s="76" t="str">
        <f t="shared" si="47"/>
        <v/>
      </c>
      <c r="I70" s="76" t="str">
        <f t="shared" si="47"/>
        <v/>
      </c>
      <c r="J70" s="7"/>
      <c r="K70" s="83" t="str">
        <f t="shared" si="3"/>
        <v/>
      </c>
      <c r="L70" s="136" t="b">
        <v>0</v>
      </c>
      <c r="M70" s="7" t="str">
        <f t="shared" ref="M70:U70" si="48">IF($L70=TRUE,C70,"")</f>
        <v/>
      </c>
      <c r="N70" s="7" t="str">
        <f t="shared" si="48"/>
        <v/>
      </c>
      <c r="O70" s="7" t="str">
        <f t="shared" si="48"/>
        <v/>
      </c>
      <c r="P70" s="7" t="str">
        <f t="shared" si="48"/>
        <v/>
      </c>
      <c r="Q70" s="7" t="str">
        <f t="shared" si="48"/>
        <v/>
      </c>
      <c r="R70" s="7" t="str">
        <f t="shared" si="48"/>
        <v/>
      </c>
      <c r="S70" s="7" t="str">
        <f t="shared" si="48"/>
        <v/>
      </c>
      <c r="T70" s="7" t="str">
        <f t="shared" si="48"/>
        <v/>
      </c>
      <c r="U70" s="8" t="str">
        <f t="shared" si="48"/>
        <v/>
      </c>
    </row>
    <row r="71" spans="1:21" ht="13" outlineLevel="1">
      <c r="A71" s="210"/>
      <c r="B71" s="210"/>
      <c r="C71" s="21">
        <f t="shared" si="1"/>
        <v>0</v>
      </c>
      <c r="D71" s="7" t="str">
        <f t="shared" ref="D71:I71" si="49">IF($C28&gt;$C$46,D28,"")</f>
        <v/>
      </c>
      <c r="E71" s="83" t="str">
        <f t="shared" si="49"/>
        <v/>
      </c>
      <c r="F71" s="76" t="str">
        <f t="shared" si="49"/>
        <v/>
      </c>
      <c r="G71" s="76" t="str">
        <f t="shared" si="49"/>
        <v/>
      </c>
      <c r="H71" s="76" t="str">
        <f t="shared" si="49"/>
        <v/>
      </c>
      <c r="I71" s="76" t="str">
        <f t="shared" si="49"/>
        <v/>
      </c>
      <c r="J71" s="7"/>
      <c r="K71" s="83" t="str">
        <f t="shared" si="3"/>
        <v/>
      </c>
      <c r="L71" s="137" t="b">
        <v>0</v>
      </c>
      <c r="M71" s="7" t="str">
        <f t="shared" ref="M71:U71" si="50">IF($L71=TRUE,C71,"")</f>
        <v/>
      </c>
      <c r="N71" s="7" t="str">
        <f t="shared" si="50"/>
        <v/>
      </c>
      <c r="O71" s="7" t="str">
        <f t="shared" si="50"/>
        <v/>
      </c>
      <c r="P71" s="7" t="str">
        <f t="shared" si="50"/>
        <v/>
      </c>
      <c r="Q71" s="7" t="str">
        <f t="shared" si="50"/>
        <v/>
      </c>
      <c r="R71" s="7" t="str">
        <f t="shared" si="50"/>
        <v/>
      </c>
      <c r="S71" s="7" t="str">
        <f t="shared" si="50"/>
        <v/>
      </c>
      <c r="T71" s="7" t="str">
        <f t="shared" si="50"/>
        <v/>
      </c>
      <c r="U71" s="8" t="str">
        <f t="shared" si="50"/>
        <v/>
      </c>
    </row>
    <row r="72" spans="1:21" ht="62.5" outlineLevel="1">
      <c r="A72" s="210"/>
      <c r="B72" s="210"/>
      <c r="C72" s="21">
        <f t="shared" si="1"/>
        <v>3</v>
      </c>
      <c r="D72" s="7" t="str">
        <f t="shared" ref="D72:I72" si="51">IF($C29&gt;$C$46,D29,"")</f>
        <v>5.MD.C.5b</v>
      </c>
      <c r="E72" s="83" t="str">
        <f t="shared" si="51"/>
        <v>Apply the formulas V = l × w × h and V = b × h for rectangular prisms to find volumes of right rectangular prisms with whole-number edge lengths in the context of solving real world and mathematical problems.</v>
      </c>
      <c r="F72" s="76" t="b">
        <f t="shared" si="51"/>
        <v>1</v>
      </c>
      <c r="G72" s="76" t="b">
        <f t="shared" si="51"/>
        <v>1</v>
      </c>
      <c r="H72" s="76" t="b">
        <f t="shared" si="51"/>
        <v>1</v>
      </c>
      <c r="I72" s="76" t="b">
        <f t="shared" si="51"/>
        <v>0</v>
      </c>
      <c r="J72" s="7"/>
      <c r="K72" s="83" t="str">
        <f t="shared" si="3"/>
        <v>R-This standard is important to move through the next standards.
E- This standard will be used in higher grade levels
A-Act Aspire &amp; MAP</v>
      </c>
      <c r="L72" s="136" t="b">
        <v>1</v>
      </c>
      <c r="M72" s="7">
        <f t="shared" ref="M72:U72" si="52">IF($L72=TRUE,C72,"")</f>
        <v>3</v>
      </c>
      <c r="N72" s="7" t="str">
        <f t="shared" si="52"/>
        <v>5.MD.C.5b</v>
      </c>
      <c r="O72" s="7" t="str">
        <f t="shared" si="52"/>
        <v>Apply the formulas V = l × w × h and V = b × h for rectangular prisms to find volumes of right rectangular prisms with whole-number edge lengths in the context of solving real world and mathematical problems.</v>
      </c>
      <c r="P72" s="7" t="b">
        <f t="shared" si="52"/>
        <v>1</v>
      </c>
      <c r="Q72" s="7" t="b">
        <f t="shared" si="52"/>
        <v>1</v>
      </c>
      <c r="R72" s="7" t="b">
        <f t="shared" si="52"/>
        <v>1</v>
      </c>
      <c r="S72" s="7" t="b">
        <f t="shared" si="52"/>
        <v>0</v>
      </c>
      <c r="T72" s="7">
        <f t="shared" si="52"/>
        <v>0</v>
      </c>
      <c r="U72" s="8" t="str">
        <f t="shared" si="52"/>
        <v>R-This standard is important to move through the next standards.
E- This standard will be used in higher grade levels
A-Act Aspire &amp; MAP</v>
      </c>
    </row>
    <row r="73" spans="1:21" ht="13" outlineLevel="1">
      <c r="A73" s="211"/>
      <c r="B73" s="211"/>
      <c r="C73" s="27">
        <f t="shared" si="1"/>
        <v>0</v>
      </c>
      <c r="D73" s="7" t="str">
        <f t="shared" ref="D73:I73" si="53">IF($C30&gt;$C$46,D30,"")</f>
        <v/>
      </c>
      <c r="E73" s="83" t="str">
        <f t="shared" si="53"/>
        <v/>
      </c>
      <c r="F73" s="76" t="str">
        <f t="shared" si="53"/>
        <v/>
      </c>
      <c r="G73" s="76" t="str">
        <f t="shared" si="53"/>
        <v/>
      </c>
      <c r="H73" s="76" t="str">
        <f t="shared" si="53"/>
        <v/>
      </c>
      <c r="I73" s="76" t="str">
        <f t="shared" si="53"/>
        <v/>
      </c>
      <c r="J73" s="7"/>
      <c r="K73" s="83" t="str">
        <f t="shared" si="3"/>
        <v/>
      </c>
      <c r="L73" s="48" t="b">
        <v>0</v>
      </c>
      <c r="M73" s="7" t="str">
        <f t="shared" ref="M73:U73" si="54">IF($L73=TRUE,C73,"")</f>
        <v/>
      </c>
      <c r="N73" s="7" t="str">
        <f t="shared" si="54"/>
        <v/>
      </c>
      <c r="O73" s="7" t="str">
        <f t="shared" si="54"/>
        <v/>
      </c>
      <c r="P73" s="7" t="str">
        <f t="shared" si="54"/>
        <v/>
      </c>
      <c r="Q73" s="7" t="str">
        <f t="shared" si="54"/>
        <v/>
      </c>
      <c r="R73" s="7" t="str">
        <f t="shared" si="54"/>
        <v/>
      </c>
      <c r="S73" s="7" t="str">
        <f t="shared" si="54"/>
        <v/>
      </c>
      <c r="T73" s="7" t="str">
        <f t="shared" si="54"/>
        <v/>
      </c>
      <c r="U73" s="8" t="str">
        <f t="shared" si="54"/>
        <v/>
      </c>
    </row>
    <row r="74" spans="1:21" ht="67.5" customHeight="1" outlineLevel="1">
      <c r="A74" s="247" t="s">
        <v>368</v>
      </c>
      <c r="B74" s="246" t="s">
        <v>596</v>
      </c>
      <c r="C74" s="21">
        <f t="shared" si="1"/>
        <v>4</v>
      </c>
      <c r="D74" s="7" t="str">
        <f t="shared" ref="D74:I74" si="55">IF($C31&gt;$C$46,D31,"")</f>
        <v>5.NF.A.1</v>
      </c>
      <c r="E74" s="83" t="str">
        <f t="shared" si="55"/>
        <v>Add and subtract fractions with unlike denominators (including mixed numbers) by replacing given fractions with equivalent fractions in such a way as to produce an equivalent sum or difference of fractions with like denominators. For example, 2/3 + 5/4 = 8/12 + 15/12 = 23/12. (In general, a/b + c/d = (ad + bc)/bd.)</v>
      </c>
      <c r="F74" s="76" t="b">
        <f t="shared" si="55"/>
        <v>1</v>
      </c>
      <c r="G74" s="76" t="b">
        <f t="shared" si="55"/>
        <v>1</v>
      </c>
      <c r="H74" s="76" t="b">
        <f t="shared" si="55"/>
        <v>1</v>
      </c>
      <c r="I74" s="76" t="b">
        <f t="shared" si="55"/>
        <v>1</v>
      </c>
      <c r="J74" s="7"/>
      <c r="K74" s="83" t="str">
        <f t="shared" si="3"/>
        <v xml:space="preserve">R-Prepares students for the next level of learning in fraction work.
E-This standard will be used as a skill as students do more fraction work over time. </v>
      </c>
      <c r="L74" s="136" t="b">
        <v>0</v>
      </c>
      <c r="M74" s="7" t="str">
        <f t="shared" ref="M74:U74" si="56">IF($L74=TRUE,C74,"")</f>
        <v/>
      </c>
      <c r="N74" s="7" t="str">
        <f t="shared" si="56"/>
        <v/>
      </c>
      <c r="O74" s="7" t="str">
        <f t="shared" si="56"/>
        <v/>
      </c>
      <c r="P74" s="7" t="str">
        <f t="shared" si="56"/>
        <v/>
      </c>
      <c r="Q74" s="7" t="str">
        <f t="shared" si="56"/>
        <v/>
      </c>
      <c r="R74" s="7" t="str">
        <f t="shared" si="56"/>
        <v/>
      </c>
      <c r="S74" s="7" t="str">
        <f t="shared" si="56"/>
        <v/>
      </c>
      <c r="T74" s="7" t="str">
        <f t="shared" si="56"/>
        <v/>
      </c>
      <c r="U74" s="8" t="str">
        <f t="shared" si="56"/>
        <v/>
      </c>
    </row>
    <row r="75" spans="1:21" ht="84.75" customHeight="1" outlineLevel="1">
      <c r="A75" s="210"/>
      <c r="B75" s="211"/>
      <c r="C75" s="27">
        <f t="shared" si="1"/>
        <v>4</v>
      </c>
      <c r="D75" s="7" t="str">
        <f t="shared" ref="D75:I75" si="57">IF($C32&gt;$C$46,D32,"")</f>
        <v>5.NF.A.2</v>
      </c>
      <c r="E75" s="83" t="str">
        <f t="shared" si="57"/>
        <v>Solve word problems involving addition and subtraction of fractions referring to the same whole, including cases of unlike denominators, e.g., by using visual fraction models or equations to represent the problem. Use benchmark fractions and number sense of fractions to estimate mentally and assess the reasonableness of answers. For example, recognize an incorrect result 2/5 + 1/2 = 3/7, by observing that 3/7 &lt; 1/2.</v>
      </c>
      <c r="F75" s="76" t="b">
        <f t="shared" si="57"/>
        <v>1</v>
      </c>
      <c r="G75" s="76" t="b">
        <f t="shared" si="57"/>
        <v>1</v>
      </c>
      <c r="H75" s="76" t="b">
        <f t="shared" si="57"/>
        <v>1</v>
      </c>
      <c r="I75" s="76" t="b">
        <f t="shared" si="57"/>
        <v>1</v>
      </c>
      <c r="J75" s="7"/>
      <c r="K75" s="83" t="str">
        <f t="shared" si="3"/>
        <v>foundation for other math operations and is a real world skill (cooking)</v>
      </c>
      <c r="L75" s="136" t="b">
        <v>1</v>
      </c>
      <c r="M75" s="7">
        <f t="shared" ref="M75:U75" si="58">IF($L75=TRUE,C75,"")</f>
        <v>4</v>
      </c>
      <c r="N75" s="7" t="str">
        <f t="shared" si="58"/>
        <v>5.NF.A.2</v>
      </c>
      <c r="O75" s="7" t="str">
        <f t="shared" si="58"/>
        <v>Solve word problems involving addition and subtraction of fractions referring to the same whole, including cases of unlike denominators, e.g., by using visual fraction models or equations to represent the problem. Use benchmark fractions and number sense of fractions to estimate mentally and assess the reasonableness of answers. For example, recognize an incorrect result 2/5 + 1/2 = 3/7, by observing that 3/7 &lt; 1/2.</v>
      </c>
      <c r="P75" s="7" t="b">
        <f t="shared" si="58"/>
        <v>1</v>
      </c>
      <c r="Q75" s="7" t="b">
        <f t="shared" si="58"/>
        <v>1</v>
      </c>
      <c r="R75" s="7" t="b">
        <f t="shared" si="58"/>
        <v>1</v>
      </c>
      <c r="S75" s="7" t="b">
        <f t="shared" si="58"/>
        <v>1</v>
      </c>
      <c r="T75" s="7">
        <f t="shared" si="58"/>
        <v>0</v>
      </c>
      <c r="U75" s="8" t="str">
        <f t="shared" si="58"/>
        <v>foundation for other math operations and is a real world skill (cooking)</v>
      </c>
    </row>
    <row r="76" spans="1:21" ht="13" outlineLevel="1">
      <c r="A76" s="210"/>
      <c r="B76" s="250" t="s">
        <v>603</v>
      </c>
      <c r="C76" s="21">
        <f t="shared" si="1"/>
        <v>0</v>
      </c>
      <c r="D76" s="7" t="str">
        <f t="shared" ref="D76:I76" si="59">IF($C33&gt;$C$46,D33,"")</f>
        <v/>
      </c>
      <c r="E76" s="83" t="str">
        <f t="shared" si="59"/>
        <v/>
      </c>
      <c r="F76" s="76" t="str">
        <f t="shared" si="59"/>
        <v/>
      </c>
      <c r="G76" s="76" t="str">
        <f t="shared" si="59"/>
        <v/>
      </c>
      <c r="H76" s="76" t="str">
        <f t="shared" si="59"/>
        <v/>
      </c>
      <c r="I76" s="76" t="str">
        <f t="shared" si="59"/>
        <v/>
      </c>
      <c r="J76" s="7"/>
      <c r="K76" s="83" t="str">
        <f t="shared" si="3"/>
        <v/>
      </c>
      <c r="L76" s="48" t="b">
        <v>0</v>
      </c>
      <c r="M76" s="7" t="str">
        <f t="shared" ref="M76:U76" si="60">IF($L76=TRUE,C76,"")</f>
        <v/>
      </c>
      <c r="N76" s="7" t="str">
        <f t="shared" si="60"/>
        <v/>
      </c>
      <c r="O76" s="7" t="str">
        <f t="shared" si="60"/>
        <v/>
      </c>
      <c r="P76" s="7" t="str">
        <f t="shared" si="60"/>
        <v/>
      </c>
      <c r="Q76" s="7" t="str">
        <f t="shared" si="60"/>
        <v/>
      </c>
      <c r="R76" s="7" t="str">
        <f t="shared" si="60"/>
        <v/>
      </c>
      <c r="S76" s="7" t="str">
        <f t="shared" si="60"/>
        <v/>
      </c>
      <c r="T76" s="7" t="str">
        <f t="shared" si="60"/>
        <v/>
      </c>
      <c r="U76" s="8" t="str">
        <f t="shared" si="60"/>
        <v/>
      </c>
    </row>
    <row r="77" spans="1:21" ht="13" outlineLevel="1">
      <c r="A77" s="210"/>
      <c r="B77" s="210"/>
      <c r="C77" s="21">
        <f t="shared" si="1"/>
        <v>0</v>
      </c>
      <c r="D77" s="7" t="str">
        <f t="shared" ref="D77:I77" si="61">IF($C34&gt;$C$46,D34,"")</f>
        <v/>
      </c>
      <c r="E77" s="83" t="str">
        <f t="shared" si="61"/>
        <v/>
      </c>
      <c r="F77" s="76" t="str">
        <f t="shared" si="61"/>
        <v/>
      </c>
      <c r="G77" s="76" t="str">
        <f t="shared" si="61"/>
        <v/>
      </c>
      <c r="H77" s="76" t="str">
        <f t="shared" si="61"/>
        <v/>
      </c>
      <c r="I77" s="76" t="str">
        <f t="shared" si="61"/>
        <v/>
      </c>
      <c r="J77" s="7"/>
      <c r="K77" s="83" t="str">
        <f t="shared" si="3"/>
        <v/>
      </c>
      <c r="L77" s="136" t="b">
        <v>0</v>
      </c>
      <c r="M77" s="7" t="str">
        <f t="shared" ref="M77:U77" si="62">IF($L77=TRUE,C77,"")</f>
        <v/>
      </c>
      <c r="N77" s="7" t="str">
        <f t="shared" si="62"/>
        <v/>
      </c>
      <c r="O77" s="7" t="str">
        <f t="shared" si="62"/>
        <v/>
      </c>
      <c r="P77" s="7" t="str">
        <f t="shared" si="62"/>
        <v/>
      </c>
      <c r="Q77" s="7" t="str">
        <f t="shared" si="62"/>
        <v/>
      </c>
      <c r="R77" s="7" t="str">
        <f t="shared" si="62"/>
        <v/>
      </c>
      <c r="S77" s="7" t="str">
        <f t="shared" si="62"/>
        <v/>
      </c>
      <c r="T77" s="7" t="str">
        <f t="shared" si="62"/>
        <v/>
      </c>
      <c r="U77" s="8" t="str">
        <f t="shared" si="62"/>
        <v/>
      </c>
    </row>
    <row r="78" spans="1:21" ht="13" outlineLevel="1">
      <c r="A78" s="210"/>
      <c r="B78" s="210"/>
      <c r="C78" s="21">
        <f t="shared" si="1"/>
        <v>0</v>
      </c>
      <c r="D78" s="7" t="str">
        <f t="shared" ref="D78:I78" si="63">IF($C35&gt;$C$46,D35,"")</f>
        <v/>
      </c>
      <c r="E78" s="83" t="str">
        <f t="shared" si="63"/>
        <v/>
      </c>
      <c r="F78" s="76" t="str">
        <f t="shared" si="63"/>
        <v/>
      </c>
      <c r="G78" s="76" t="str">
        <f t="shared" si="63"/>
        <v/>
      </c>
      <c r="H78" s="76" t="str">
        <f t="shared" si="63"/>
        <v/>
      </c>
      <c r="I78" s="76" t="str">
        <f t="shared" si="63"/>
        <v/>
      </c>
      <c r="J78" s="7"/>
      <c r="K78" s="83" t="str">
        <f t="shared" si="3"/>
        <v/>
      </c>
      <c r="L78" s="136" t="b">
        <v>0</v>
      </c>
      <c r="M78" s="7" t="str">
        <f t="shared" ref="M78:U78" si="64">IF($L78=TRUE,C78,"")</f>
        <v/>
      </c>
      <c r="N78" s="7" t="str">
        <f t="shared" si="64"/>
        <v/>
      </c>
      <c r="O78" s="7" t="str">
        <f t="shared" si="64"/>
        <v/>
      </c>
      <c r="P78" s="7" t="str">
        <f t="shared" si="64"/>
        <v/>
      </c>
      <c r="Q78" s="7" t="str">
        <f t="shared" si="64"/>
        <v/>
      </c>
      <c r="R78" s="7" t="str">
        <f t="shared" si="64"/>
        <v/>
      </c>
      <c r="S78" s="7" t="str">
        <f t="shared" si="64"/>
        <v/>
      </c>
      <c r="T78" s="7" t="str">
        <f t="shared" si="64"/>
        <v/>
      </c>
      <c r="U78" s="8" t="str">
        <f t="shared" si="64"/>
        <v/>
      </c>
    </row>
    <row r="79" spans="1:21" ht="13" outlineLevel="1">
      <c r="A79" s="210"/>
      <c r="B79" s="210"/>
      <c r="C79" s="21">
        <f t="shared" si="1"/>
        <v>0</v>
      </c>
      <c r="D79" s="7" t="str">
        <f t="shared" ref="D79:I79" si="65">IF($C36&gt;$C$46,D36,"")</f>
        <v/>
      </c>
      <c r="E79" s="83" t="str">
        <f t="shared" si="65"/>
        <v/>
      </c>
      <c r="F79" s="76" t="str">
        <f t="shared" si="65"/>
        <v/>
      </c>
      <c r="G79" s="76" t="str">
        <f t="shared" si="65"/>
        <v/>
      </c>
      <c r="H79" s="76" t="str">
        <f t="shared" si="65"/>
        <v/>
      </c>
      <c r="I79" s="76" t="str">
        <f t="shared" si="65"/>
        <v/>
      </c>
      <c r="J79" s="7"/>
      <c r="K79" s="83" t="str">
        <f t="shared" si="3"/>
        <v/>
      </c>
      <c r="L79" s="136" t="b">
        <v>0</v>
      </c>
      <c r="M79" s="7" t="str">
        <f t="shared" ref="M79:U79" si="66">IF($L79=TRUE,C79,"")</f>
        <v/>
      </c>
      <c r="N79" s="7" t="str">
        <f t="shared" si="66"/>
        <v/>
      </c>
      <c r="O79" s="7" t="str">
        <f t="shared" si="66"/>
        <v/>
      </c>
      <c r="P79" s="7" t="str">
        <f t="shared" si="66"/>
        <v/>
      </c>
      <c r="Q79" s="7" t="str">
        <f t="shared" si="66"/>
        <v/>
      </c>
      <c r="R79" s="7" t="str">
        <f t="shared" si="66"/>
        <v/>
      </c>
      <c r="S79" s="7" t="str">
        <f t="shared" si="66"/>
        <v/>
      </c>
      <c r="T79" s="7" t="str">
        <f t="shared" si="66"/>
        <v/>
      </c>
      <c r="U79" s="8" t="str">
        <f t="shared" si="66"/>
        <v/>
      </c>
    </row>
    <row r="80" spans="1:21" ht="13" outlineLevel="1">
      <c r="A80" s="210"/>
      <c r="B80" s="210"/>
      <c r="C80" s="21">
        <f t="shared" si="1"/>
        <v>0</v>
      </c>
      <c r="D80" s="7" t="str">
        <f t="shared" ref="D80:I80" si="67">IF($C37&gt;$C$46,D37,"")</f>
        <v/>
      </c>
      <c r="E80" s="83" t="str">
        <f t="shared" si="67"/>
        <v/>
      </c>
      <c r="F80" s="76" t="str">
        <f t="shared" si="67"/>
        <v/>
      </c>
      <c r="G80" s="76" t="str">
        <f t="shared" si="67"/>
        <v/>
      </c>
      <c r="H80" s="76" t="str">
        <f t="shared" si="67"/>
        <v/>
      </c>
      <c r="I80" s="76" t="str">
        <f t="shared" si="67"/>
        <v/>
      </c>
      <c r="J80" s="7"/>
      <c r="K80" s="83" t="str">
        <f t="shared" si="3"/>
        <v/>
      </c>
      <c r="L80" s="48" t="b">
        <v>0</v>
      </c>
      <c r="M80" s="7" t="str">
        <f t="shared" ref="M80:U80" si="68">IF($L80=TRUE,C80,"")</f>
        <v/>
      </c>
      <c r="N80" s="7" t="str">
        <f t="shared" si="68"/>
        <v/>
      </c>
      <c r="O80" s="7" t="str">
        <f t="shared" si="68"/>
        <v/>
      </c>
      <c r="P80" s="7" t="str">
        <f t="shared" si="68"/>
        <v/>
      </c>
      <c r="Q80" s="7" t="str">
        <f t="shared" si="68"/>
        <v/>
      </c>
      <c r="R80" s="7" t="str">
        <f t="shared" si="68"/>
        <v/>
      </c>
      <c r="S80" s="7" t="str">
        <f t="shared" si="68"/>
        <v/>
      </c>
      <c r="T80" s="7" t="str">
        <f t="shared" si="68"/>
        <v/>
      </c>
      <c r="U80" s="8" t="str">
        <f t="shared" si="68"/>
        <v/>
      </c>
    </row>
    <row r="81" spans="1:21" ht="13" outlineLevel="1">
      <c r="A81" s="210"/>
      <c r="B81" s="210"/>
      <c r="C81" s="21">
        <f t="shared" si="1"/>
        <v>0</v>
      </c>
      <c r="D81" s="7" t="str">
        <f t="shared" ref="D81:I81" si="69">IF($C38&gt;$C$46,D38,"")</f>
        <v/>
      </c>
      <c r="E81" s="83" t="str">
        <f t="shared" si="69"/>
        <v/>
      </c>
      <c r="F81" s="76" t="str">
        <f t="shared" si="69"/>
        <v/>
      </c>
      <c r="G81" s="76" t="str">
        <f t="shared" si="69"/>
        <v/>
      </c>
      <c r="H81" s="76" t="str">
        <f t="shared" si="69"/>
        <v/>
      </c>
      <c r="I81" s="76" t="str">
        <f t="shared" si="69"/>
        <v/>
      </c>
      <c r="J81" s="7"/>
      <c r="K81" s="83" t="str">
        <f t="shared" si="3"/>
        <v/>
      </c>
      <c r="L81" s="136" t="b">
        <v>0</v>
      </c>
      <c r="M81" s="7" t="str">
        <f t="shared" ref="M81:U81" si="70">IF($L81=TRUE,C81,"")</f>
        <v/>
      </c>
      <c r="N81" s="7" t="str">
        <f t="shared" si="70"/>
        <v/>
      </c>
      <c r="O81" s="7" t="str">
        <f t="shared" si="70"/>
        <v/>
      </c>
      <c r="P81" s="7" t="str">
        <f t="shared" si="70"/>
        <v/>
      </c>
      <c r="Q81" s="7" t="str">
        <f t="shared" si="70"/>
        <v/>
      </c>
      <c r="R81" s="7" t="str">
        <f t="shared" si="70"/>
        <v/>
      </c>
      <c r="S81" s="7" t="str">
        <f t="shared" si="70"/>
        <v/>
      </c>
      <c r="T81" s="7" t="str">
        <f t="shared" si="70"/>
        <v/>
      </c>
      <c r="U81" s="8" t="str">
        <f t="shared" si="70"/>
        <v/>
      </c>
    </row>
    <row r="82" spans="1:21" ht="50" outlineLevel="1">
      <c r="A82" s="210"/>
      <c r="B82" s="210"/>
      <c r="C82" s="21">
        <f t="shared" si="1"/>
        <v>3</v>
      </c>
      <c r="D82" s="7" t="str">
        <f t="shared" ref="D82:I82" si="71">IF($C39&gt;$C$46,D39,"")</f>
        <v>5.NF.B.6</v>
      </c>
      <c r="E82" s="83" t="str">
        <f t="shared" si="71"/>
        <v>Solve real world problems involving multiplication of fractions and mixed numbers, e.g., by using visual fraction models or equations to represent the problem.</v>
      </c>
      <c r="F82" s="76" t="b">
        <f t="shared" si="71"/>
        <v>1</v>
      </c>
      <c r="G82" s="76" t="b">
        <f t="shared" si="71"/>
        <v>0</v>
      </c>
      <c r="H82" s="76" t="b">
        <f t="shared" si="71"/>
        <v>1</v>
      </c>
      <c r="I82" s="76" t="b">
        <f t="shared" si="71"/>
        <v>1</v>
      </c>
      <c r="J82" s="7"/>
      <c r="K82" s="83" t="str">
        <f t="shared" si="3"/>
        <v>R- building block for future ratio and eqution work, E- this standard will continue to be addressed in future grades,  A- MAP, ACT Aspire, L- carries over to science</v>
      </c>
      <c r="L82" s="136" t="b">
        <v>1</v>
      </c>
      <c r="M82" s="7">
        <f t="shared" ref="M82:U82" si="72">IF($L82=TRUE,C82,"")</f>
        <v>3</v>
      </c>
      <c r="N82" s="7" t="str">
        <f t="shared" si="72"/>
        <v>5.NF.B.6</v>
      </c>
      <c r="O82" s="7" t="str">
        <f t="shared" si="72"/>
        <v>Solve real world problems involving multiplication of fractions and mixed numbers, e.g., by using visual fraction models or equations to represent the problem.</v>
      </c>
      <c r="P82" s="7" t="b">
        <f t="shared" si="72"/>
        <v>1</v>
      </c>
      <c r="Q82" s="7" t="b">
        <f t="shared" si="72"/>
        <v>0</v>
      </c>
      <c r="R82" s="7" t="b">
        <f t="shared" si="72"/>
        <v>1</v>
      </c>
      <c r="S82" s="7" t="b">
        <f t="shared" si="72"/>
        <v>1</v>
      </c>
      <c r="T82" s="7">
        <f t="shared" si="72"/>
        <v>0</v>
      </c>
      <c r="U82" s="8" t="str">
        <f t="shared" si="72"/>
        <v>R- building block for future ratio and eqution work, E- this standard will continue to be addressed in future grades,  A- MAP, ACT Aspire, L- carries over to science</v>
      </c>
    </row>
    <row r="83" spans="1:21" ht="50" outlineLevel="1">
      <c r="A83" s="210"/>
      <c r="B83" s="210"/>
      <c r="C83" s="21">
        <f t="shared" si="1"/>
        <v>3</v>
      </c>
      <c r="D83" s="7" t="str">
        <f t="shared" ref="D83:I83" si="73">IF($C40&gt;$C$46,D40,"")</f>
        <v>5.NF.B.7</v>
      </c>
      <c r="E83" s="83" t="str">
        <f t="shared" si="73"/>
        <v>Apply and extend previous understandings of division to divide unit fractions by whole numbers and whole numbers by unit fractions.</v>
      </c>
      <c r="F83" s="76" t="b">
        <f t="shared" si="73"/>
        <v>1</v>
      </c>
      <c r="G83" s="76" t="b">
        <f t="shared" si="73"/>
        <v>0</v>
      </c>
      <c r="H83" s="76" t="b">
        <f t="shared" si="73"/>
        <v>1</v>
      </c>
      <c r="I83" s="76" t="b">
        <f t="shared" si="73"/>
        <v>1</v>
      </c>
      <c r="J83" s="7"/>
      <c r="K83" s="83" t="str">
        <f t="shared" si="3"/>
        <v>R- building block for future ratio and eqution work, E- this standard will continue to be addressed in future grades, A- MAP, ACT Aspire, L- carries over to science</v>
      </c>
      <c r="L83" s="48" t="b">
        <v>1</v>
      </c>
      <c r="M83" s="7">
        <f t="shared" ref="M83:U83" si="74">IF($L83=TRUE,C83,"")</f>
        <v>3</v>
      </c>
      <c r="N83" s="7" t="str">
        <f t="shared" si="74"/>
        <v>5.NF.B.7</v>
      </c>
      <c r="O83" s="7" t="str">
        <f t="shared" si="74"/>
        <v>Apply and extend previous understandings of division to divide unit fractions by whole numbers and whole numbers by unit fractions.</v>
      </c>
      <c r="P83" s="7" t="b">
        <f t="shared" si="74"/>
        <v>1</v>
      </c>
      <c r="Q83" s="7" t="b">
        <f t="shared" si="74"/>
        <v>0</v>
      </c>
      <c r="R83" s="7" t="b">
        <f t="shared" si="74"/>
        <v>1</v>
      </c>
      <c r="S83" s="7" t="b">
        <f t="shared" si="74"/>
        <v>1</v>
      </c>
      <c r="T83" s="7">
        <f t="shared" si="74"/>
        <v>0</v>
      </c>
      <c r="U83" s="8" t="str">
        <f t="shared" si="74"/>
        <v>R- building block for future ratio and eqution work, E- this standard will continue to be addressed in future grades, A- MAP, ACT Aspire, L- carries over to science</v>
      </c>
    </row>
    <row r="84" spans="1:21" ht="13" outlineLevel="1">
      <c r="A84" s="210"/>
      <c r="B84" s="210"/>
      <c r="C84" s="21">
        <f t="shared" si="1"/>
        <v>0</v>
      </c>
      <c r="D84" s="7" t="str">
        <f t="shared" ref="D84:I84" si="75">IF($C41&gt;$C$46,D41,"")</f>
        <v/>
      </c>
      <c r="E84" s="83" t="str">
        <f t="shared" si="75"/>
        <v/>
      </c>
      <c r="F84" s="76" t="str">
        <f t="shared" si="75"/>
        <v/>
      </c>
      <c r="G84" s="76" t="str">
        <f t="shared" si="75"/>
        <v/>
      </c>
      <c r="H84" s="76" t="str">
        <f t="shared" si="75"/>
        <v/>
      </c>
      <c r="I84" s="76" t="str">
        <f t="shared" si="75"/>
        <v/>
      </c>
      <c r="J84" s="7"/>
      <c r="K84" s="83" t="str">
        <f t="shared" si="3"/>
        <v/>
      </c>
      <c r="L84" s="136" t="b">
        <v>0</v>
      </c>
      <c r="M84" s="7" t="str">
        <f t="shared" ref="M84:U84" si="76">IF($L84=TRUE,C84,"")</f>
        <v/>
      </c>
      <c r="N84" s="7" t="str">
        <f t="shared" si="76"/>
        <v/>
      </c>
      <c r="O84" s="7" t="str">
        <f t="shared" si="76"/>
        <v/>
      </c>
      <c r="P84" s="7" t="str">
        <f t="shared" si="76"/>
        <v/>
      </c>
      <c r="Q84" s="7" t="str">
        <f t="shared" si="76"/>
        <v/>
      </c>
      <c r="R84" s="7" t="str">
        <f t="shared" si="76"/>
        <v/>
      </c>
      <c r="S84" s="7" t="str">
        <f t="shared" si="76"/>
        <v/>
      </c>
      <c r="T84" s="7" t="str">
        <f t="shared" si="76"/>
        <v/>
      </c>
      <c r="U84" s="8" t="str">
        <f t="shared" si="76"/>
        <v/>
      </c>
    </row>
    <row r="85" spans="1:21" ht="13" outlineLevel="1">
      <c r="A85" s="210"/>
      <c r="B85" s="210"/>
      <c r="C85" s="21">
        <f t="shared" si="1"/>
        <v>0</v>
      </c>
      <c r="D85" s="7" t="str">
        <f t="shared" ref="D85:I85" si="77">IF($C42&gt;$C$46,D42,"")</f>
        <v/>
      </c>
      <c r="E85" s="83" t="str">
        <f t="shared" si="77"/>
        <v/>
      </c>
      <c r="F85" s="76" t="str">
        <f t="shared" si="77"/>
        <v/>
      </c>
      <c r="G85" s="76" t="str">
        <f t="shared" si="77"/>
        <v/>
      </c>
      <c r="H85" s="76" t="str">
        <f t="shared" si="77"/>
        <v/>
      </c>
      <c r="I85" s="76" t="str">
        <f t="shared" si="77"/>
        <v/>
      </c>
      <c r="J85" s="7"/>
      <c r="K85" s="83" t="str">
        <f t="shared" si="3"/>
        <v/>
      </c>
      <c r="L85" s="137" t="b">
        <v>0</v>
      </c>
      <c r="M85" s="7" t="str">
        <f t="shared" ref="M85:U85" si="78">IF($L85=TRUE,C85,"")</f>
        <v/>
      </c>
      <c r="N85" s="7" t="str">
        <f t="shared" si="78"/>
        <v/>
      </c>
      <c r="O85" s="7" t="str">
        <f t="shared" si="78"/>
        <v/>
      </c>
      <c r="P85" s="7" t="str">
        <f t="shared" si="78"/>
        <v/>
      </c>
      <c r="Q85" s="7" t="str">
        <f t="shared" si="78"/>
        <v/>
      </c>
      <c r="R85" s="7" t="str">
        <f t="shared" si="78"/>
        <v/>
      </c>
      <c r="S85" s="7" t="str">
        <f t="shared" si="78"/>
        <v/>
      </c>
      <c r="T85" s="7" t="str">
        <f t="shared" si="78"/>
        <v/>
      </c>
      <c r="U85" s="8" t="str">
        <f t="shared" si="78"/>
        <v/>
      </c>
    </row>
    <row r="86" spans="1:21" ht="13" outlineLevel="1">
      <c r="A86" s="211"/>
      <c r="B86" s="211"/>
      <c r="C86" s="21">
        <f t="shared" si="1"/>
        <v>0</v>
      </c>
      <c r="D86" s="7" t="str">
        <f t="shared" ref="D86:I86" si="79">IF($C43&gt;$C$46,D43,"")</f>
        <v/>
      </c>
      <c r="E86" s="83" t="str">
        <f t="shared" si="79"/>
        <v/>
      </c>
      <c r="F86" s="76" t="str">
        <f t="shared" si="79"/>
        <v/>
      </c>
      <c r="G86" s="76" t="str">
        <f t="shared" si="79"/>
        <v/>
      </c>
      <c r="H86" s="76" t="str">
        <f t="shared" si="79"/>
        <v/>
      </c>
      <c r="I86" s="76" t="str">
        <f t="shared" si="79"/>
        <v/>
      </c>
      <c r="J86" s="7"/>
      <c r="K86" s="83" t="str">
        <f t="shared" si="3"/>
        <v/>
      </c>
      <c r="L86" s="136" t="b">
        <v>0</v>
      </c>
      <c r="M86" s="7" t="str">
        <f t="shared" ref="M86:U86" si="80">IF($L86=TRUE,C86,"")</f>
        <v/>
      </c>
      <c r="N86" s="7" t="str">
        <f t="shared" si="80"/>
        <v/>
      </c>
      <c r="O86" s="7" t="str">
        <f t="shared" si="80"/>
        <v/>
      </c>
      <c r="P86" s="7" t="str">
        <f t="shared" si="80"/>
        <v/>
      </c>
      <c r="Q86" s="7" t="str">
        <f t="shared" si="80"/>
        <v/>
      </c>
      <c r="R86" s="7" t="str">
        <f t="shared" si="80"/>
        <v/>
      </c>
      <c r="S86" s="7" t="str">
        <f t="shared" si="80"/>
        <v/>
      </c>
      <c r="T86" s="7" t="str">
        <f t="shared" si="80"/>
        <v/>
      </c>
      <c r="U86" s="8" t="str">
        <f t="shared" si="80"/>
        <v/>
      </c>
    </row>
  </sheetData>
  <mergeCells count="34">
    <mergeCell ref="A60:A63"/>
    <mergeCell ref="A64:A73"/>
    <mergeCell ref="A74:A86"/>
    <mergeCell ref="A46:B46"/>
    <mergeCell ref="A47:B47"/>
    <mergeCell ref="A48:A56"/>
    <mergeCell ref="B48:B53"/>
    <mergeCell ref="B54:B56"/>
    <mergeCell ref="A57:A59"/>
    <mergeCell ref="B62:B63"/>
    <mergeCell ref="B57:B58"/>
    <mergeCell ref="B60:B61"/>
    <mergeCell ref="B66:B73"/>
    <mergeCell ref="B74:B75"/>
    <mergeCell ref="B76:B86"/>
    <mergeCell ref="F45:G45"/>
    <mergeCell ref="B11:B13"/>
    <mergeCell ref="B14:B15"/>
    <mergeCell ref="A17:A20"/>
    <mergeCell ref="B17:B18"/>
    <mergeCell ref="B19:B20"/>
    <mergeCell ref="A21:A30"/>
    <mergeCell ref="A31:A43"/>
    <mergeCell ref="A14:A16"/>
    <mergeCell ref="B23:B30"/>
    <mergeCell ref="B31:B32"/>
    <mergeCell ref="B33:B43"/>
    <mergeCell ref="A45:B45"/>
    <mergeCell ref="A2:B2"/>
    <mergeCell ref="C2:K2"/>
    <mergeCell ref="A3:K3"/>
    <mergeCell ref="A4:B4"/>
    <mergeCell ref="A5:A13"/>
    <mergeCell ref="B5:B10"/>
  </mergeCells>
  <conditionalFormatting sqref="D45">
    <cfRule type="expression" dxfId="19" priority="1">
      <formula>D45&lt;=K45</formula>
    </cfRule>
  </conditionalFormatting>
  <conditionalFormatting sqref="D45">
    <cfRule type="expression" dxfId="18" priority="2">
      <formula>D45&gt;K45</formula>
    </cfRule>
  </conditionalFormatting>
  <conditionalFormatting sqref="L48 L52 L55:L56 L59:L60 L62 L64 L66 L68:L69 L72:L73 L76 L80 L83:L84">
    <cfRule type="expression" dxfId="17" priority="3">
      <formula>not</formula>
    </cfRule>
  </conditionalFormatting>
  <conditionalFormatting sqref="F48:I86">
    <cfRule type="cellIs" dxfId="16" priority="4" operator="equal">
      <formula>"TRUE"</formula>
    </cfRule>
  </conditionalFormatting>
  <conditionalFormatting sqref="F48:I86">
    <cfRule type="cellIs" dxfId="15" priority="5" operator="equal">
      <formula>"FALSE"</formula>
    </cfRule>
  </conditionalFormatting>
  <conditionalFormatting sqref="C5:C43 C48:C86">
    <cfRule type="cellIs" dxfId="14" priority="6" operator="equal">
      <formula>0</formula>
    </cfRule>
  </conditionalFormatting>
  <conditionalFormatting sqref="C5:C43 C48:C86">
    <cfRule type="cellIs" dxfId="13" priority="7" operator="equal">
      <formula>1</formula>
    </cfRule>
  </conditionalFormatting>
  <conditionalFormatting sqref="C5:C43 C48:C86">
    <cfRule type="cellIs" dxfId="12" priority="8" operator="equal">
      <formula>2</formula>
    </cfRule>
  </conditionalFormatting>
  <conditionalFormatting sqref="C5:C43 C48:C86">
    <cfRule type="cellIs" dxfId="11" priority="9" operator="equal">
      <formula>3</formula>
    </cfRule>
  </conditionalFormatting>
  <conditionalFormatting sqref="C5:C43 C48:C86">
    <cfRule type="cellIs" dxfId="10" priority="10" operator="equal">
      <formula>4</formula>
    </cfRule>
  </conditionalFormatting>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outlinePr summaryBelow="0" summaryRight="0"/>
    <pageSetUpPr fitToPage="1"/>
  </sheetPr>
  <dimension ref="A1:BD51"/>
  <sheetViews>
    <sheetView workbookViewId="0">
      <pane xSplit="1" ySplit="3" topLeftCell="B4" activePane="bottomRight" state="frozen"/>
      <selection pane="topRight" activeCell="B1" sqref="B1"/>
      <selection pane="bottomLeft" activeCell="A4" sqref="A4"/>
      <selection pane="bottomRight" activeCell="B4" sqref="B4"/>
    </sheetView>
  </sheetViews>
  <sheetFormatPr defaultColWidth="12.6328125" defaultRowHeight="15.75" customHeight="1" outlineLevelCol="1"/>
  <cols>
    <col min="2" max="2" width="4.26953125" customWidth="1"/>
    <col min="3" max="3" width="9.453125" customWidth="1" collapsed="1"/>
    <col min="4" max="4" width="37.6328125" hidden="1" customWidth="1" outlineLevel="1"/>
    <col min="5" max="8" width="1.36328125" hidden="1" customWidth="1" outlineLevel="1"/>
    <col min="9" max="9" width="0.7265625" customWidth="1" collapsed="1"/>
    <col min="10" max="10" width="25.08984375" hidden="1" customWidth="1" outlineLevel="1"/>
    <col min="11" max="11" width="4.26953125" customWidth="1"/>
    <col min="12" max="12" width="9.453125" customWidth="1" collapsed="1"/>
    <col min="13" max="13" width="25.08984375" hidden="1" customWidth="1" outlineLevel="1"/>
    <col min="14" max="17" width="1.36328125" hidden="1" customWidth="1" outlineLevel="1"/>
    <col min="18" max="18" width="0.7265625" customWidth="1"/>
    <col min="19" max="19" width="25.08984375" customWidth="1" outlineLevel="1"/>
    <col min="20" max="20" width="4.26953125" customWidth="1"/>
    <col min="21" max="21" width="9.453125" customWidth="1" collapsed="1"/>
    <col min="22" max="22" width="25.08984375" hidden="1" customWidth="1" outlineLevel="1"/>
    <col min="23" max="26" width="1.36328125" hidden="1" customWidth="1" outlineLevel="1"/>
    <col min="27" max="27" width="0.7265625" customWidth="1"/>
    <col min="28" max="28" width="25.08984375" customWidth="1" outlineLevel="1"/>
    <col min="29" max="29" width="4.26953125" customWidth="1"/>
    <col min="30" max="30" width="9.453125" customWidth="1" collapsed="1"/>
    <col min="31" max="31" width="25.08984375" hidden="1" customWidth="1" outlineLevel="1"/>
    <col min="32" max="35" width="1.36328125" hidden="1" customWidth="1" outlineLevel="1"/>
    <col min="36" max="36" width="0.7265625" customWidth="1"/>
    <col min="37" max="37" width="25.08984375" customWidth="1" outlineLevel="1"/>
    <col min="38" max="38" width="4.26953125" customWidth="1"/>
    <col min="39" max="39" width="9.453125" customWidth="1"/>
    <col min="40" max="40" width="25.08984375" customWidth="1" outlineLevel="1"/>
    <col min="41" max="44" width="1.36328125" customWidth="1" outlineLevel="1"/>
    <col min="45" max="45" width="0.7265625" customWidth="1" collapsed="1"/>
    <col min="46" max="46" width="25.08984375" hidden="1" customWidth="1" outlineLevel="1"/>
    <col min="47" max="47" width="4.26953125" customWidth="1"/>
    <col min="48" max="48" width="9.453125" customWidth="1"/>
    <col min="49" max="49" width="25.08984375" customWidth="1" outlineLevel="1"/>
    <col min="50" max="53" width="1.36328125" customWidth="1" outlineLevel="1"/>
    <col min="54" max="54" width="0.7265625" customWidth="1"/>
    <col min="55" max="56" width="25.08984375" customWidth="1" outlineLevel="1"/>
  </cols>
  <sheetData>
    <row r="1" spans="1:56" ht="15.5">
      <c r="A1" s="138" t="s">
        <v>635</v>
      </c>
      <c r="B1" s="82"/>
      <c r="C1" s="82"/>
      <c r="D1" s="82"/>
      <c r="E1" s="82"/>
      <c r="F1" s="82"/>
      <c r="G1" s="82"/>
      <c r="H1" s="82"/>
      <c r="I1" s="82"/>
      <c r="J1" s="139"/>
      <c r="K1" s="82"/>
      <c r="L1" s="82"/>
      <c r="M1" s="82"/>
      <c r="N1" s="82"/>
      <c r="O1" s="82"/>
      <c r="P1" s="82"/>
      <c r="Q1" s="82"/>
      <c r="R1" s="82"/>
      <c r="S1" s="82"/>
      <c r="T1" s="140"/>
      <c r="U1" s="82"/>
      <c r="V1" s="82"/>
      <c r="W1" s="82"/>
      <c r="X1" s="82"/>
      <c r="Y1" s="82"/>
      <c r="Z1" s="82"/>
      <c r="AA1" s="141"/>
      <c r="AB1" s="82"/>
      <c r="AC1" s="82"/>
      <c r="AD1" s="82"/>
      <c r="AE1" s="82"/>
      <c r="AF1" s="82"/>
      <c r="AG1" s="82"/>
      <c r="AH1" s="82"/>
      <c r="AI1" s="82"/>
      <c r="AJ1" s="82"/>
      <c r="AK1" s="82"/>
      <c r="AL1" s="142"/>
      <c r="AM1" s="82"/>
      <c r="AN1" s="82"/>
      <c r="AO1" s="82"/>
      <c r="AP1" s="82"/>
      <c r="AQ1" s="82"/>
      <c r="AR1" s="82"/>
      <c r="AS1" s="82"/>
      <c r="AT1" s="82"/>
      <c r="AU1" s="142"/>
      <c r="AV1" s="82"/>
      <c r="AW1" s="82"/>
      <c r="AX1" s="82"/>
      <c r="AY1" s="82"/>
      <c r="AZ1" s="82"/>
      <c r="BA1" s="82"/>
      <c r="BB1" s="82"/>
      <c r="BC1" s="82"/>
      <c r="BD1" s="82"/>
    </row>
    <row r="2" spans="1:56" ht="15.5">
      <c r="A2" s="143"/>
      <c r="B2" s="260" t="s">
        <v>636</v>
      </c>
      <c r="C2" s="203"/>
      <c r="D2" s="203"/>
      <c r="E2" s="203"/>
      <c r="F2" s="203"/>
      <c r="G2" s="203"/>
      <c r="H2" s="203"/>
      <c r="I2" s="203"/>
      <c r="J2" s="206"/>
      <c r="K2" s="261" t="s">
        <v>637</v>
      </c>
      <c r="L2" s="203"/>
      <c r="M2" s="203"/>
      <c r="N2" s="203"/>
      <c r="O2" s="203"/>
      <c r="P2" s="203"/>
      <c r="Q2" s="203"/>
      <c r="R2" s="203"/>
      <c r="S2" s="206"/>
      <c r="T2" s="260" t="s">
        <v>638</v>
      </c>
      <c r="U2" s="203"/>
      <c r="V2" s="203"/>
      <c r="W2" s="203"/>
      <c r="X2" s="203"/>
      <c r="Y2" s="203"/>
      <c r="Z2" s="203"/>
      <c r="AA2" s="203"/>
      <c r="AB2" s="206"/>
      <c r="AC2" s="261" t="s">
        <v>639</v>
      </c>
      <c r="AD2" s="203"/>
      <c r="AE2" s="203"/>
      <c r="AF2" s="203"/>
      <c r="AG2" s="203"/>
      <c r="AH2" s="203"/>
      <c r="AI2" s="203"/>
      <c r="AJ2" s="203"/>
      <c r="AK2" s="206"/>
      <c r="AL2" s="262" t="s">
        <v>640</v>
      </c>
      <c r="AM2" s="203"/>
      <c r="AN2" s="203"/>
      <c r="AO2" s="203"/>
      <c r="AP2" s="203"/>
      <c r="AQ2" s="203"/>
      <c r="AR2" s="203"/>
      <c r="AS2" s="203"/>
      <c r="AT2" s="206"/>
      <c r="AU2" s="262" t="s">
        <v>641</v>
      </c>
      <c r="AV2" s="203"/>
      <c r="AW2" s="203"/>
      <c r="AX2" s="203"/>
      <c r="AY2" s="203"/>
      <c r="AZ2" s="203"/>
      <c r="BA2" s="203"/>
      <c r="BB2" s="203"/>
      <c r="BC2" s="206"/>
      <c r="BD2" s="144"/>
    </row>
    <row r="3" spans="1:56" ht="25">
      <c r="A3" s="145" t="s">
        <v>642</v>
      </c>
      <c r="B3" s="146" t="s">
        <v>643</v>
      </c>
      <c r="C3" s="147" t="s">
        <v>644</v>
      </c>
      <c r="D3" s="148" t="s">
        <v>11</v>
      </c>
      <c r="E3" s="149" t="s">
        <v>13</v>
      </c>
      <c r="F3" s="149" t="s">
        <v>14</v>
      </c>
      <c r="G3" s="149" t="s">
        <v>15</v>
      </c>
      <c r="H3" s="149" t="s">
        <v>16</v>
      </c>
      <c r="I3" s="149"/>
      <c r="J3" s="150" t="s">
        <v>17</v>
      </c>
      <c r="K3" s="149" t="s">
        <v>643</v>
      </c>
      <c r="L3" s="147" t="s">
        <v>644</v>
      </c>
      <c r="M3" s="148" t="s">
        <v>11</v>
      </c>
      <c r="N3" s="149" t="s">
        <v>13</v>
      </c>
      <c r="O3" s="149" t="s">
        <v>14</v>
      </c>
      <c r="P3" s="149" t="s">
        <v>15</v>
      </c>
      <c r="Q3" s="149" t="s">
        <v>16</v>
      </c>
      <c r="R3" s="149"/>
      <c r="S3" s="151" t="s">
        <v>17</v>
      </c>
      <c r="T3" s="152" t="s">
        <v>643</v>
      </c>
      <c r="U3" s="147" t="s">
        <v>644</v>
      </c>
      <c r="V3" s="148" t="s">
        <v>11</v>
      </c>
      <c r="W3" s="149" t="s">
        <v>13</v>
      </c>
      <c r="X3" s="149" t="s">
        <v>14</v>
      </c>
      <c r="Y3" s="149" t="s">
        <v>15</v>
      </c>
      <c r="Z3" s="149" t="s">
        <v>16</v>
      </c>
      <c r="AA3" s="149"/>
      <c r="AB3" s="153" t="s">
        <v>17</v>
      </c>
      <c r="AC3" s="149" t="s">
        <v>643</v>
      </c>
      <c r="AD3" s="147" t="s">
        <v>644</v>
      </c>
      <c r="AE3" s="148" t="s">
        <v>11</v>
      </c>
      <c r="AF3" s="149" t="s">
        <v>13</v>
      </c>
      <c r="AG3" s="149" t="s">
        <v>14</v>
      </c>
      <c r="AH3" s="149" t="s">
        <v>15</v>
      </c>
      <c r="AI3" s="149" t="s">
        <v>16</v>
      </c>
      <c r="AJ3" s="149"/>
      <c r="AK3" s="153" t="s">
        <v>17</v>
      </c>
      <c r="AL3" s="154" t="s">
        <v>643</v>
      </c>
      <c r="AM3" s="147" t="s">
        <v>644</v>
      </c>
      <c r="AN3" s="148" t="s">
        <v>11</v>
      </c>
      <c r="AO3" s="149" t="s">
        <v>13</v>
      </c>
      <c r="AP3" s="149" t="s">
        <v>14</v>
      </c>
      <c r="AQ3" s="149" t="s">
        <v>15</v>
      </c>
      <c r="AR3" s="149" t="s">
        <v>16</v>
      </c>
      <c r="AS3" s="149"/>
      <c r="AT3" s="153" t="s">
        <v>17</v>
      </c>
      <c r="AU3" s="154" t="s">
        <v>643</v>
      </c>
      <c r="AV3" s="147" t="s">
        <v>644</v>
      </c>
      <c r="AW3" s="148" t="s">
        <v>11</v>
      </c>
      <c r="AX3" s="149" t="s">
        <v>13</v>
      </c>
      <c r="AY3" s="149" t="s">
        <v>14</v>
      </c>
      <c r="AZ3" s="149" t="s">
        <v>15</v>
      </c>
      <c r="BA3" s="149" t="s">
        <v>16</v>
      </c>
      <c r="BB3" s="149"/>
      <c r="BC3" s="153" t="s">
        <v>17</v>
      </c>
      <c r="BD3" s="153" t="s">
        <v>17</v>
      </c>
    </row>
    <row r="4" spans="1:56" ht="103.5">
      <c r="A4" s="263" t="s">
        <v>18</v>
      </c>
      <c r="B4" s="88">
        <f ca="1">IFERROR(__xludf.DUMMYFUNCTION("unique('K-M'!M35:U35)"),4)</f>
        <v>4</v>
      </c>
      <c r="C4" s="83" t="str">
        <f ca="1">IFERROR(__xludf.DUMMYFUNCTION("""COMPUTED_VALUE"""),"K.NBT.A.1")</f>
        <v>K.NBT.A.1</v>
      </c>
      <c r="D4" s="155" t="str">
        <f ca="1">IFERROR(__xludf.DUMMYFUNCTION("""COMPUTED_VALUE"""),"Compose and decompose numbers from 11 to 19 into ten ones and some further ones, e.g., by using objects or drawings, and record each composition or decomposition by a drawing or equation (such as 18 = 10 + 8); understand that these numbers are composed of"&amp;" ten ones and one, two, three, four, five, six, seven, eight, or nine ones.")</f>
        <v>Compose and decompose numbers from 11 to 19 into ten ones and some further ones, e.g., by using objects or drawings, and record each composition or decomposition by a drawing or equation (such as 18 = 10 + 8); understand that these numbers are composed of ten ones and one, two, three, four, five, six, seven, eight, or nine ones.</v>
      </c>
      <c r="E4" s="76" t="b">
        <f ca="1">IFERROR(__xludf.DUMMYFUNCTION("""COMPUTED_VALUE"""),TRUE)</f>
        <v>1</v>
      </c>
      <c r="F4" s="76" t="b">
        <f ca="1">IFERROR(__xludf.DUMMYFUNCTION("""COMPUTED_VALUE"""),TRUE)</f>
        <v>1</v>
      </c>
      <c r="G4" s="76" t="b">
        <f ca="1">IFERROR(__xludf.DUMMYFUNCTION("""COMPUTED_VALUE"""),TRUE)</f>
        <v>1</v>
      </c>
      <c r="H4" s="76" t="b">
        <f ca="1">IFERROR(__xludf.DUMMYFUNCTION("""COMPUTED_VALUE"""),TRUE)</f>
        <v>1</v>
      </c>
      <c r="I4" s="83"/>
      <c r="J4" s="155" t="str">
        <f ca="1">IFERROR(__xludf.DUMMYFUNCTION("""COMPUTED_VALUE"""),"R- 1st grade will build upon this learning
E- PLace value will be taught and used across 
grade-levels
A-assessed on MAP
L- students will use this skill in skip counting, counting
addition, and subtraction ")</f>
        <v xml:space="preserve">R- 1st grade will build upon this learning
E- PLace value will be taught and used across 
grade-levels
A-assessed on MAP
L- students will use this skill in skip counting, counting
addition, and subtraction </v>
      </c>
      <c r="K4" s="88">
        <f ca="1">IFERROR(__xludf.DUMMYFUNCTION("unique('1-M'!M33:U41)"),4)</f>
        <v>4</v>
      </c>
      <c r="L4" s="83" t="str">
        <f ca="1">IFERROR(__xludf.DUMMYFUNCTION("""COMPUTED_VALUE"""),"1.NBT.A.1")</f>
        <v>1.NBT.A.1</v>
      </c>
      <c r="M4" s="155" t="str">
        <f ca="1">IFERROR(__xludf.DUMMYFUNCTION("""COMPUTED_VALUE"""),"Count to 120, starting at any number less than 120. In this range, read and write numerals and represent a number of objects with a written numeral.")</f>
        <v>Count to 120, starting at any number less than 120. In this range, read and write numerals and represent a number of objects with a written numeral.</v>
      </c>
      <c r="N4" s="76" t="b">
        <f ca="1">IFERROR(__xludf.DUMMYFUNCTION("""COMPUTED_VALUE"""),TRUE)</f>
        <v>1</v>
      </c>
      <c r="O4" s="76" t="b">
        <f ca="1">IFERROR(__xludf.DUMMYFUNCTION("""COMPUTED_VALUE"""),TRUE)</f>
        <v>1</v>
      </c>
      <c r="P4" s="76" t="b">
        <f ca="1">IFERROR(__xludf.DUMMYFUNCTION("""COMPUTED_VALUE"""),TRUE)</f>
        <v>1</v>
      </c>
      <c r="Q4" s="76" t="b">
        <f ca="1">IFERROR(__xludf.DUMMYFUNCTION("""COMPUTED_VALUE"""),TRUE)</f>
        <v>1</v>
      </c>
      <c r="R4" s="83"/>
      <c r="S4" s="155" t="str">
        <f ca="1">IFERROR(__xludf.DUMMYFUNCTION("""COMPUTED_VALUE"""),"R-This is a foundational skill, E- This is necessary to grow in math, A-This will be assesed, L-it will be used at one point or another in all subject areas")</f>
        <v>R-This is a foundational skill, E- This is necessary to grow in math, A-This will be assesed, L-it will be used at one point or another in all subject areas</v>
      </c>
      <c r="T4" s="156">
        <f ca="1">IFERROR(__xludf.DUMMYFUNCTION("unique('2-M'!M37:U47)"),4)</f>
        <v>4</v>
      </c>
      <c r="U4" s="83" t="str">
        <f ca="1">IFERROR(__xludf.DUMMYFUNCTION("""COMPUTED_VALUE"""),"2.NBT.A.1")</f>
        <v>2.NBT.A.1</v>
      </c>
      <c r="V4" s="155" t="str">
        <f ca="1">IFERROR(__xludf.DUMMYFUNCTION("""COMPUTED_VALUE"""),"Understand that the three digits of a three-digit number represent amounts of hundreds, tens, and ones; e.g., 706 equals 7 hundreds, 0 tens, and 6 ones. Understand the following as special cases:")</f>
        <v>Understand that the three digits of a three-digit number represent amounts of hundreds, tens, and ones; e.g., 706 equals 7 hundreds, 0 tens, and 6 ones. Understand the following as special cases:</v>
      </c>
      <c r="W4" s="76" t="b">
        <f ca="1">IFERROR(__xludf.DUMMYFUNCTION("""COMPUTED_VALUE"""),TRUE)</f>
        <v>1</v>
      </c>
      <c r="X4" s="76" t="b">
        <f ca="1">IFERROR(__xludf.DUMMYFUNCTION("""COMPUTED_VALUE"""),TRUE)</f>
        <v>1</v>
      </c>
      <c r="Y4" s="76" t="b">
        <f ca="1">IFERROR(__xludf.DUMMYFUNCTION("""COMPUTED_VALUE"""),TRUE)</f>
        <v>1</v>
      </c>
      <c r="Z4" s="76" t="b">
        <f ca="1">IFERROR(__xludf.DUMMYFUNCTION("""COMPUTED_VALUE"""),TRUE)</f>
        <v>1</v>
      </c>
      <c r="AA4" s="157"/>
      <c r="AB4" s="155" t="str">
        <f ca="1">IFERROR(__xludf.DUMMYFUNCTION("""COMPUTED_VALUE"""),"R-the basis for understanding addtion and 
subtraction L - apply to scienctific data 
collection. E-foundation for math &amp; science A -Will be assess on MAP.")</f>
        <v>R-the basis for understanding addtion and 
subtraction L - apply to scienctific data 
collection. E-foundation for math &amp; science A -Will be assess on MAP.</v>
      </c>
      <c r="AC4" s="156" t="str">
        <f ca="1">IFERROR(__xludf.DUMMYFUNCTION("unique('3-M'!M49:U51)"),"")</f>
        <v/>
      </c>
      <c r="AD4" s="83" t="str">
        <f ca="1">IFERROR(__xludf.DUMMYFUNCTION("""COMPUTED_VALUE"""),"")</f>
        <v/>
      </c>
      <c r="AE4" s="155" t="str">
        <f ca="1">IFERROR(__xludf.DUMMYFUNCTION("""COMPUTED_VALUE"""),"")</f>
        <v/>
      </c>
      <c r="AF4" s="76" t="str">
        <f ca="1">IFERROR(__xludf.DUMMYFUNCTION("""COMPUTED_VALUE"""),"")</f>
        <v/>
      </c>
      <c r="AG4" s="76" t="str">
        <f ca="1">IFERROR(__xludf.DUMMYFUNCTION("""COMPUTED_VALUE"""),"")</f>
        <v/>
      </c>
      <c r="AH4" s="76" t="str">
        <f ca="1">IFERROR(__xludf.DUMMYFUNCTION("""COMPUTED_VALUE"""),"")</f>
        <v/>
      </c>
      <c r="AI4" s="76" t="str">
        <f ca="1">IFERROR(__xludf.DUMMYFUNCTION("""COMPUTED_VALUE"""),"")</f>
        <v/>
      </c>
      <c r="AJ4" s="83" t="str">
        <f ca="1">IFERROR(__xludf.DUMMYFUNCTION("""COMPUTED_VALUE"""),"")</f>
        <v/>
      </c>
      <c r="AK4" s="155" t="str">
        <f ca="1">IFERROR(__xludf.DUMMYFUNCTION("""COMPUTED_VALUE"""),"")</f>
        <v/>
      </c>
      <c r="AL4" s="156" t="str">
        <f ca="1">IFERROR(__xludf.DUMMYFUNCTION("unique('4-M'!M47:U52)"),"")</f>
        <v/>
      </c>
      <c r="AM4" s="83" t="str">
        <f ca="1">IFERROR(__xludf.DUMMYFUNCTION("""COMPUTED_VALUE"""),"")</f>
        <v/>
      </c>
      <c r="AN4" s="155" t="str">
        <f ca="1">IFERROR(__xludf.DUMMYFUNCTION("""COMPUTED_VALUE"""),"")</f>
        <v/>
      </c>
      <c r="AO4" s="76" t="str">
        <f ca="1">IFERROR(__xludf.DUMMYFUNCTION("""COMPUTED_VALUE"""),"")</f>
        <v/>
      </c>
      <c r="AP4" s="76" t="str">
        <f ca="1">IFERROR(__xludf.DUMMYFUNCTION("""COMPUTED_VALUE"""),"")</f>
        <v/>
      </c>
      <c r="AQ4" s="76" t="str">
        <f ca="1">IFERROR(__xludf.DUMMYFUNCTION("""COMPUTED_VALUE"""),"")</f>
        <v/>
      </c>
      <c r="AR4" s="76" t="str">
        <f ca="1">IFERROR(__xludf.DUMMYFUNCTION("""COMPUTED_VALUE"""),"")</f>
        <v/>
      </c>
      <c r="AS4" s="83" t="str">
        <f ca="1">IFERROR(__xludf.DUMMYFUNCTION("""COMPUTED_VALUE"""),"")</f>
        <v/>
      </c>
      <c r="AT4" s="155" t="str">
        <f ca="1">IFERROR(__xludf.DUMMYFUNCTION("""COMPUTED_VALUE"""),"")</f>
        <v/>
      </c>
      <c r="AU4" s="156" t="str">
        <f ca="1">IFERROR(__xludf.DUMMYFUNCTION("unique('5-M'!M48:U56)"),"")</f>
        <v/>
      </c>
      <c r="AV4" s="83" t="str">
        <f ca="1">IFERROR(__xludf.DUMMYFUNCTION("""COMPUTED_VALUE"""),"")</f>
        <v/>
      </c>
      <c r="AW4" s="155" t="str">
        <f ca="1">IFERROR(__xludf.DUMMYFUNCTION("""COMPUTED_VALUE"""),"")</f>
        <v/>
      </c>
      <c r="AX4" s="76" t="str">
        <f ca="1">IFERROR(__xludf.DUMMYFUNCTION("""COMPUTED_VALUE"""),"")</f>
        <v/>
      </c>
      <c r="AY4" s="76" t="str">
        <f ca="1">IFERROR(__xludf.DUMMYFUNCTION("""COMPUTED_VALUE"""),"")</f>
        <v/>
      </c>
      <c r="AZ4" s="76" t="str">
        <f ca="1">IFERROR(__xludf.DUMMYFUNCTION("""COMPUTED_VALUE"""),"")</f>
        <v/>
      </c>
      <c r="BA4" s="76" t="str">
        <f ca="1">IFERROR(__xludf.DUMMYFUNCTION("""COMPUTED_VALUE"""),"")</f>
        <v/>
      </c>
      <c r="BB4" s="83" t="str">
        <f ca="1">IFERROR(__xludf.DUMMYFUNCTION("""COMPUTED_VALUE"""),"")</f>
        <v/>
      </c>
      <c r="BC4" s="155" t="str">
        <f ca="1">IFERROR(__xludf.DUMMYFUNCTION("""COMPUTED_VALUE"""),"")</f>
        <v/>
      </c>
      <c r="BD4" s="155"/>
    </row>
    <row r="5" spans="1:56" ht="138">
      <c r="A5" s="253"/>
      <c r="B5" s="88"/>
      <c r="C5" s="83"/>
      <c r="D5" s="155"/>
      <c r="E5" s="76"/>
      <c r="F5" s="76"/>
      <c r="G5" s="76"/>
      <c r="H5" s="76"/>
      <c r="I5" s="83"/>
      <c r="J5" s="155"/>
      <c r="K5" s="88">
        <f ca="1">IFERROR(__xludf.DUMMYFUNCTION("""COMPUTED_VALUE"""),4)</f>
        <v>4</v>
      </c>
      <c r="L5" s="83" t="str">
        <f ca="1">IFERROR(__xludf.DUMMYFUNCTION("""COMPUTED_VALUE"""),"1.NBT.B.2")</f>
        <v>1.NBT.B.2</v>
      </c>
      <c r="M5" s="155" t="str">
        <f ca="1">IFERROR(__xludf.DUMMYFUNCTION("""COMPUTED_VALUE"""),"Understand that the two digits of a two-digit number represent amounts of tens and ones. Understand the following as special cases:")</f>
        <v>Understand that the two digits of a two-digit number represent amounts of tens and ones. Understand the following as special cases:</v>
      </c>
      <c r="N5" s="76" t="b">
        <f ca="1">IFERROR(__xludf.DUMMYFUNCTION("""COMPUTED_VALUE"""),TRUE)</f>
        <v>1</v>
      </c>
      <c r="O5" s="76" t="b">
        <f ca="1">IFERROR(__xludf.DUMMYFUNCTION("""COMPUTED_VALUE"""),TRUE)</f>
        <v>1</v>
      </c>
      <c r="P5" s="76" t="b">
        <f ca="1">IFERROR(__xludf.DUMMYFUNCTION("""COMPUTED_VALUE"""),TRUE)</f>
        <v>1</v>
      </c>
      <c r="Q5" s="76" t="b">
        <f ca="1">IFERROR(__xludf.DUMMYFUNCTION("""COMPUTED_VALUE"""),TRUE)</f>
        <v>1</v>
      </c>
      <c r="R5" s="83"/>
      <c r="S5" s="155" t="str">
        <f ca="1">IFERROR(__xludf.DUMMYFUNCTION("""COMPUTED_VALUE"""),"R-This is a foundational skill, E-This is an essintial skill for composing and decomposing numbers, A-This is assessed.  L-future science")</f>
        <v>R-This is a foundational skill, E-This is an essintial skill for composing and decomposing numbers, A-This is assessed.  L-future science</v>
      </c>
      <c r="T5" s="156" t="str">
        <f ca="1">IFERROR(__xludf.DUMMYFUNCTION("""COMPUTED_VALUE"""),"")</f>
        <v/>
      </c>
      <c r="U5" s="83" t="str">
        <f ca="1">IFERROR(__xludf.DUMMYFUNCTION("""COMPUTED_VALUE"""),"")</f>
        <v/>
      </c>
      <c r="V5" s="155" t="str">
        <f ca="1">IFERROR(__xludf.DUMMYFUNCTION("""COMPUTED_VALUE"""),"")</f>
        <v/>
      </c>
      <c r="W5" s="76" t="str">
        <f ca="1">IFERROR(__xludf.DUMMYFUNCTION("""COMPUTED_VALUE"""),"")</f>
        <v/>
      </c>
      <c r="X5" s="76" t="str">
        <f ca="1">IFERROR(__xludf.DUMMYFUNCTION("""COMPUTED_VALUE"""),"")</f>
        <v/>
      </c>
      <c r="Y5" s="76" t="str">
        <f ca="1">IFERROR(__xludf.DUMMYFUNCTION("""COMPUTED_VALUE"""),"")</f>
        <v/>
      </c>
      <c r="Z5" s="76" t="str">
        <f ca="1">IFERROR(__xludf.DUMMYFUNCTION("""COMPUTED_VALUE"""),"")</f>
        <v/>
      </c>
      <c r="AA5" s="157" t="str">
        <f ca="1">IFERROR(__xludf.DUMMYFUNCTION("""COMPUTED_VALUE"""),"")</f>
        <v/>
      </c>
      <c r="AB5" s="155" t="str">
        <f ca="1">IFERROR(__xludf.DUMMYFUNCTION("""COMPUTED_VALUE"""),"")</f>
        <v/>
      </c>
      <c r="AC5" s="156">
        <f ca="1">IFERROR(__xludf.DUMMYFUNCTION("""COMPUTED_VALUE"""),4)</f>
        <v>4</v>
      </c>
      <c r="AD5" s="83" t="str">
        <f ca="1">IFERROR(__xludf.DUMMYFUNCTION("""COMPUTED_VALUE"""),"3.NBT.A.2")</f>
        <v>3.NBT.A.2</v>
      </c>
      <c r="AE5" s="155" t="str">
        <f ca="1">IFERROR(__xludf.DUMMYFUNCTION("""COMPUTED_VALUE"""),"Fluently add and subtract within 1000 using strategies and algorithms based on place value, properties of operations, and/or the relationship between addition and subtraction.")</f>
        <v>Fluently add and subtract within 1000 using strategies and algorithms based on place value, properties of operations, and/or the relationship between addition and subtraction.</v>
      </c>
      <c r="AF5" s="76" t="b">
        <f ca="1">IFERROR(__xludf.DUMMYFUNCTION("""COMPUTED_VALUE"""),TRUE)</f>
        <v>1</v>
      </c>
      <c r="AG5" s="76" t="b">
        <f ca="1">IFERROR(__xludf.DUMMYFUNCTION("""COMPUTED_VALUE"""),TRUE)</f>
        <v>1</v>
      </c>
      <c r="AH5" s="76" t="b">
        <f ca="1">IFERROR(__xludf.DUMMYFUNCTION("""COMPUTED_VALUE"""),TRUE)</f>
        <v>1</v>
      </c>
      <c r="AI5" s="76" t="b">
        <f ca="1">IFERROR(__xludf.DUMMYFUNCTION("""COMPUTED_VALUE"""),TRUE)</f>
        <v>1</v>
      </c>
      <c r="AJ5" s="83"/>
      <c r="AK5" s="155" t="str">
        <f ca="1">IFERROR(__xludf.DUMMYFUNCTION("""COMPUTED_VALUE"""),"R-Fluently add and subtract multi-digit whole
 numbers using the standard algorithm (NBT.B.4).E-They
will use the standard Algorithm throughout
the whole year. A-They will see this on ACT Aspire.L-this
is used in Science too.")</f>
        <v>R-Fluently add and subtract multi-digit whole
 numbers using the standard algorithm (NBT.B.4).E-They
will use the standard Algorithm throughout
the whole year. A-They will see this on ACT Aspire.L-this
is used in Science too.</v>
      </c>
      <c r="AL5" s="156">
        <f ca="1">IFERROR(__xludf.DUMMYFUNCTION("""COMPUTED_VALUE"""),4)</f>
        <v>4</v>
      </c>
      <c r="AM5" s="83" t="str">
        <f ca="1">IFERROR(__xludf.DUMMYFUNCTION("""COMPUTED_VALUE"""),"4.NBT.B.4")</f>
        <v>4.NBT.B.4</v>
      </c>
      <c r="AN5" s="155" t="str">
        <f ca="1">IFERROR(__xludf.DUMMYFUNCTION("""COMPUTED_VALUE"""),"Fluently add and subtract multi-digit whole numbers using the standard algorithm.")</f>
        <v>Fluently add and subtract multi-digit whole numbers using the standard algorithm.</v>
      </c>
      <c r="AO5" s="76" t="b">
        <f ca="1">IFERROR(__xludf.DUMMYFUNCTION("""COMPUTED_VALUE"""),TRUE)</f>
        <v>1</v>
      </c>
      <c r="AP5" s="76" t="b">
        <f ca="1">IFERROR(__xludf.DUMMYFUNCTION("""COMPUTED_VALUE"""),TRUE)</f>
        <v>1</v>
      </c>
      <c r="AQ5" s="76" t="b">
        <f ca="1">IFERROR(__xludf.DUMMYFUNCTION("""COMPUTED_VALUE"""),TRUE)</f>
        <v>1</v>
      </c>
      <c r="AR5" s="76" t="b">
        <f ca="1">IFERROR(__xludf.DUMMYFUNCTION("""COMPUTED_VALUE"""),TRUE)</f>
        <v>1</v>
      </c>
      <c r="AS5" s="83"/>
      <c r="AT5" s="155" t="str">
        <f ca="1">IFERROR(__xludf.DUMMYFUNCTION("""COMPUTED_VALUE"""),"R-In 5th grade they will use their knowledge of the standard algorithm to solve problems with multiple operations. 5.OA.A.2
E-This will continue through the next several grade levels in math. 
A-ACT Aspire, MAP, Common assessment
L-connects to many parts "&amp;"of math (fractions, decimals, algebra, etc.)")</f>
        <v>R-In 5th grade they will use their knowledge of the standard algorithm to solve problems with multiple operations. 5.OA.A.2
E-This will continue through the next several grade levels in math. 
A-ACT Aspire, MAP, Common assessment
L-connects to many parts of math (fractions, decimals, algebra, etc.)</v>
      </c>
      <c r="AU5" s="156">
        <f ca="1">IFERROR(__xludf.DUMMYFUNCTION("""COMPUTED_VALUE"""),4)</f>
        <v>4</v>
      </c>
      <c r="AV5" s="83" t="str">
        <f ca="1">IFERROR(__xludf.DUMMYFUNCTION("""COMPUTED_VALUE"""),"5.NBT.B.5")</f>
        <v>5.NBT.B.5</v>
      </c>
      <c r="AW5" s="155" t="str">
        <f ca="1">IFERROR(__xludf.DUMMYFUNCTION("""COMPUTED_VALUE"""),"Fluently multiply multi-digit whole numbers using the standard algorithm")</f>
        <v>Fluently multiply multi-digit whole numbers using the standard algorithm</v>
      </c>
      <c r="AX5" s="76" t="b">
        <f ca="1">IFERROR(__xludf.DUMMYFUNCTION("""COMPUTED_VALUE"""),TRUE)</f>
        <v>1</v>
      </c>
      <c r="AY5" s="76" t="b">
        <f ca="1">IFERROR(__xludf.DUMMYFUNCTION("""COMPUTED_VALUE"""),TRUE)</f>
        <v>1</v>
      </c>
      <c r="AZ5" s="76" t="b">
        <f ca="1">IFERROR(__xludf.DUMMYFUNCTION("""COMPUTED_VALUE"""),TRUE)</f>
        <v>1</v>
      </c>
      <c r="BA5" s="76" t="b">
        <f ca="1">IFERROR(__xludf.DUMMYFUNCTION("""COMPUTED_VALUE"""),TRUE)</f>
        <v>1</v>
      </c>
      <c r="BB5" s="83"/>
      <c r="BC5" s="155" t="str">
        <f ca="1">IFERROR(__xludf.DUMMYFUNCTION("""COMPUTED_VALUE"""),"R- Compute fluently with multidigit numbers and find common factors and multiples. (6.NS.B2-4) 
E- being able to compute fluently with multidigit numbers is a foundational skill. 
A- MAP and ACT Apire.
L- they will use this not only in their every day lif"&amp;"e, but they will also need it when computing data in science. ")</f>
        <v xml:space="preserve">R- Compute fluently with multidigit numbers and find common factors and multiples. (6.NS.B2-4) 
E- being able to compute fluently with multidigit numbers is a foundational skill. 
A- MAP and ACT Apire.
L- they will use this not only in their every day life, but they will also need it when computing data in science. </v>
      </c>
      <c r="BD5" s="155"/>
    </row>
    <row r="6" spans="1:56" ht="138">
      <c r="A6" s="253"/>
      <c r="B6" s="88"/>
      <c r="C6" s="83"/>
      <c r="D6" s="155"/>
      <c r="E6" s="76"/>
      <c r="F6" s="76"/>
      <c r="G6" s="76"/>
      <c r="H6" s="76"/>
      <c r="I6" s="83"/>
      <c r="J6" s="155"/>
      <c r="K6" s="88" t="str">
        <f ca="1">IFERROR(__xludf.DUMMYFUNCTION("""COMPUTED_VALUE"""),"")</f>
        <v/>
      </c>
      <c r="L6" s="83" t="str">
        <f ca="1">IFERROR(__xludf.DUMMYFUNCTION("""COMPUTED_VALUE"""),"")</f>
        <v/>
      </c>
      <c r="M6" s="155" t="str">
        <f ca="1">IFERROR(__xludf.DUMMYFUNCTION("""COMPUTED_VALUE"""),"")</f>
        <v/>
      </c>
      <c r="N6" s="76" t="str">
        <f ca="1">IFERROR(__xludf.DUMMYFUNCTION("""COMPUTED_VALUE"""),"")</f>
        <v/>
      </c>
      <c r="O6" s="76" t="str">
        <f ca="1">IFERROR(__xludf.DUMMYFUNCTION("""COMPUTED_VALUE"""),"")</f>
        <v/>
      </c>
      <c r="P6" s="76" t="str">
        <f ca="1">IFERROR(__xludf.DUMMYFUNCTION("""COMPUTED_VALUE"""),"")</f>
        <v/>
      </c>
      <c r="Q6" s="76" t="str">
        <f ca="1">IFERROR(__xludf.DUMMYFUNCTION("""COMPUTED_VALUE"""),"")</f>
        <v/>
      </c>
      <c r="R6" s="83" t="str">
        <f ca="1">IFERROR(__xludf.DUMMYFUNCTION("""COMPUTED_VALUE"""),"")</f>
        <v/>
      </c>
      <c r="S6" s="155" t="str">
        <f ca="1">IFERROR(__xludf.DUMMYFUNCTION("""COMPUTED_VALUE"""),"")</f>
        <v/>
      </c>
      <c r="T6" s="156">
        <f ca="1">IFERROR(__xludf.DUMMYFUNCTION("""COMPUTED_VALUE"""),3)</f>
        <v>3</v>
      </c>
      <c r="U6" s="83" t="str">
        <f ca="1">IFERROR(__xludf.DUMMYFUNCTION("""COMPUTED_VALUE"""),"2.NBT.A.2")</f>
        <v>2.NBT.A.2</v>
      </c>
      <c r="V6" s="155" t="str">
        <f ca="1">IFERROR(__xludf.DUMMYFUNCTION("""COMPUTED_VALUE"""),"Count within 1000; skip-count by 5s, 10s, and 100s.")</f>
        <v>Count within 1000; skip-count by 5s, 10s, and 100s.</v>
      </c>
      <c r="W6" s="76" t="b">
        <f ca="1">IFERROR(__xludf.DUMMYFUNCTION("""COMPUTED_VALUE"""),TRUE)</f>
        <v>1</v>
      </c>
      <c r="X6" s="76" t="b">
        <f ca="1">IFERROR(__xludf.DUMMYFUNCTION("""COMPUTED_VALUE"""),TRUE)</f>
        <v>1</v>
      </c>
      <c r="Y6" s="76" t="b">
        <f ca="1">IFERROR(__xludf.DUMMYFUNCTION("""COMPUTED_VALUE"""),TRUE)</f>
        <v>1</v>
      </c>
      <c r="Z6" s="76" t="b">
        <f ca="1">IFERROR(__xludf.DUMMYFUNCTION("""COMPUTED_VALUE"""),FALSE)</f>
        <v>0</v>
      </c>
      <c r="AA6" s="157"/>
      <c r="AB6" s="155" t="str">
        <f ca="1">IFERROR(__xludf.DUMMYFUNCTION("""COMPUTED_VALUE"""),"R - helps with repeated addition that relates to 
multiplication and division. E - skip counting prog
resses throughout the year as students grow 
into larger number sets
A-MAP   L-Reading logs monitoring your reading 
volume")</f>
        <v>R - helps with repeated addition that relates to 
multiplication and division. E - skip counting prog
resses throughout the year as students grow 
into larger number sets
A-MAP   L-Reading logs monitoring your reading 
volume</v>
      </c>
      <c r="AC6" s="156"/>
      <c r="AD6" s="83"/>
      <c r="AE6" s="155"/>
      <c r="AF6" s="76"/>
      <c r="AG6" s="76"/>
      <c r="AH6" s="76"/>
      <c r="AI6" s="76"/>
      <c r="AJ6" s="83"/>
      <c r="AK6" s="155"/>
      <c r="AL6" s="156">
        <f ca="1">IFERROR(__xludf.DUMMYFUNCTION("""COMPUTED_VALUE"""),4)</f>
        <v>4</v>
      </c>
      <c r="AM6" s="83" t="str">
        <f ca="1">IFERROR(__xludf.DUMMYFUNCTION("""COMPUTED_VALUE"""),"4.NBT.B.5")</f>
        <v>4.NBT.B.5</v>
      </c>
      <c r="AN6" s="155" t="str">
        <f ca="1">IFERROR(__xludf.DUMMYFUNCTION("""COMPUTED_VALUE"""),"Multiply a whole number of up to four digits by a one-digit whole number, and multiply two two-digit numbers, using strategies based on place value and the properties of operations. Illustrate and explain the calculation by using equations, rectangular ar"&amp;"rays, and/or area models.")</f>
        <v>Multiply a whole number of up to four digits by a one-digit whole number, and multiply two two-digit numbers, using strategies based on place value and the properties of operations. Illustrate and explain the calculation by using equations, rectangular arrays, and/or area models.</v>
      </c>
      <c r="AO6" s="76" t="b">
        <f ca="1">IFERROR(__xludf.DUMMYFUNCTION("""COMPUTED_VALUE"""),TRUE)</f>
        <v>1</v>
      </c>
      <c r="AP6" s="76" t="b">
        <f ca="1">IFERROR(__xludf.DUMMYFUNCTION("""COMPUTED_VALUE"""),TRUE)</f>
        <v>1</v>
      </c>
      <c r="AQ6" s="76" t="b">
        <f ca="1">IFERROR(__xludf.DUMMYFUNCTION("""COMPUTED_VALUE"""),TRUE)</f>
        <v>1</v>
      </c>
      <c r="AR6" s="76" t="b">
        <f ca="1">IFERROR(__xludf.DUMMYFUNCTION("""COMPUTED_VALUE"""),TRUE)</f>
        <v>1</v>
      </c>
      <c r="AS6" s="83"/>
      <c r="AT6" s="155" t="str">
        <f ca="1">IFERROR(__xludf.DUMMYFUNCTION("""COMPUTED_VALUE"""),"R- In 5th grade they will use the standard algorithm of multiplication to solve problems. 5.NBT.B.5
E-This will continue through the next several grade levels in math. 
A-ACT Aspire, MAP, Common assessment
L- connects to many parts of math (fractions, dec"&amp;"imals, etc.)")</f>
        <v>R- In 5th grade they will use the standard algorithm of multiplication to solve problems. 5.NBT.B.5
E-This will continue through the next several grade levels in math. 
A-ACT Aspire, MAP, Common assessment
L- connects to many parts of math (fractions, decimals, etc.)</v>
      </c>
      <c r="AU6" s="156">
        <f ca="1">IFERROR(__xludf.DUMMYFUNCTION("""COMPUTED_VALUE"""),4)</f>
        <v>4</v>
      </c>
      <c r="AV6" s="83" t="str">
        <f ca="1">IFERROR(__xludf.DUMMYFUNCTION("""COMPUTED_VALUE"""),"5.NBT.B.6")</f>
        <v>5.NBT.B.6</v>
      </c>
      <c r="AW6" s="155" t="str">
        <f ca="1">IFERROR(__xludf.DUMMYFUNCTION("""COMPUTED_VALUE"""),"Find whole-number quotients of whole numbers with up to four-digit dividends and two-digit divisors, using strategies based on place value, the properties of operations, and/or the relationship between multiplication and division. Illustrate and explain t"&amp;"he calculation by using equations, rectangular arrays, and/or area models.")</f>
        <v>Find whole-number quotients of whole numbers with up to four-digit dividends and two-digit divisors, using strategies based on place value, the properties of operations, and/or the relationship between multiplication and division. Illustrate and explain the calculation by using equations, rectangular arrays, and/or area models.</v>
      </c>
      <c r="AX6" s="76" t="b">
        <f ca="1">IFERROR(__xludf.DUMMYFUNCTION("""COMPUTED_VALUE"""),TRUE)</f>
        <v>1</v>
      </c>
      <c r="AY6" s="76" t="b">
        <f ca="1">IFERROR(__xludf.DUMMYFUNCTION("""COMPUTED_VALUE"""),TRUE)</f>
        <v>1</v>
      </c>
      <c r="AZ6" s="76" t="b">
        <f ca="1">IFERROR(__xludf.DUMMYFUNCTION("""COMPUTED_VALUE"""),TRUE)</f>
        <v>1</v>
      </c>
      <c r="BA6" s="76" t="b">
        <f ca="1">IFERROR(__xludf.DUMMYFUNCTION("""COMPUTED_VALUE"""),TRUE)</f>
        <v>1</v>
      </c>
      <c r="BB6" s="83"/>
      <c r="BC6" s="155" t="str">
        <f ca="1">IFERROR(__xludf.DUMMYFUNCTION("""COMPUTED_VALUE"""),"R- Compute fluently with multidigit numbers and find common factors and multiples. (6.NS.B2-4) 
E- being able to compute fluently with multidigit numbers is a foundational skill. 
A- MAP and ACT Apire. 
L- they will use this not only in their every day li"&amp;"fe, but they will also need it when computing data in science.")</f>
        <v>R- Compute fluently with multidigit numbers and find common factors and multiples. (6.NS.B2-4) 
E- being able to compute fluently with multidigit numbers is a foundational skill. 
A- MAP and ACT Apire. 
L- they will use this not only in their every day life, but they will also need it when computing data in science.</v>
      </c>
      <c r="BD6" s="155"/>
    </row>
    <row r="7" spans="1:56" ht="195.5">
      <c r="A7" s="253"/>
      <c r="B7" s="88"/>
      <c r="C7" s="83"/>
      <c r="D7" s="155"/>
      <c r="E7" s="76"/>
      <c r="F7" s="76"/>
      <c r="G7" s="76"/>
      <c r="H7" s="76"/>
      <c r="I7" s="83"/>
      <c r="J7" s="155"/>
      <c r="K7" s="88">
        <f ca="1">IFERROR(__xludf.DUMMYFUNCTION("""COMPUTED_VALUE"""),4)</f>
        <v>4</v>
      </c>
      <c r="L7" s="83" t="str">
        <f ca="1">IFERROR(__xludf.DUMMYFUNCTION("""COMPUTED_VALUE"""),"1.NBT.C.4")</f>
        <v>1.NBT.C.4</v>
      </c>
      <c r="M7" s="155" t="str">
        <f ca="1">IFERROR(__xludf.DUMMYFUNCTION("""COMPUTED_VALUE"""),"Add within 100, including adding a two-digit number and a one-digit number, and adding a two-digit number and a multiple of 10, using concrete models or drawings and strategies based on place value, properties of operations, and/or the relationship betwee"&amp;"n addition and subtraction; relate the strategy to a written method and explain the reasoning used. Understand that in adding two-digit numbers, one adds tens and tens, ones and ones; and sometimes it is necessary to compose a ten.")</f>
        <v>Add within 100, including adding a two-digit number and a one-digit number, and adding a two-digit number and a multiple of 10, using concrete models or drawings and strategies based on place value, properties of operations, and/or the relationship between addition and subtraction; relate the strategy to a written method and explain the reasoning used. Understand that in adding two-digit numbers, one adds tens and tens, ones and ones; and sometimes it is necessary to compose a ten.</v>
      </c>
      <c r="N7" s="76" t="b">
        <f ca="1">IFERROR(__xludf.DUMMYFUNCTION("""COMPUTED_VALUE"""),TRUE)</f>
        <v>1</v>
      </c>
      <c r="O7" s="76" t="b">
        <f ca="1">IFERROR(__xludf.DUMMYFUNCTION("""COMPUTED_VALUE"""),TRUE)</f>
        <v>1</v>
      </c>
      <c r="P7" s="76" t="b">
        <f ca="1">IFERROR(__xludf.DUMMYFUNCTION("""COMPUTED_VALUE"""),TRUE)</f>
        <v>1</v>
      </c>
      <c r="Q7" s="76" t="b">
        <f ca="1">IFERROR(__xludf.DUMMYFUNCTION("""COMPUTED_VALUE"""),TRUE)</f>
        <v>1</v>
      </c>
      <c r="R7" s="83"/>
      <c r="S7" s="155" t="str">
        <f ca="1">IFERROR(__xludf.DUMMYFUNCTION("""COMPUTED_VALUE"""),"R-This is a foundational skill that will be necessary for 2nd grade. E-This skill will be necessary for any future math. A- This is assessed. L-This will be used in science and social studies. ")</f>
        <v xml:space="preserve">R-This is a foundational skill that will be necessary for 2nd grade. E-This skill will be necessary for any future math. A- This is assessed. L-This will be used in science and social studies. </v>
      </c>
      <c r="T7" s="156">
        <f ca="1">IFERROR(__xludf.DUMMYFUNCTION("""COMPUTED_VALUE"""),4)</f>
        <v>4</v>
      </c>
      <c r="U7" s="83" t="str">
        <f ca="1">IFERROR(__xludf.DUMMYFUNCTION("""COMPUTED_VALUE"""),"2.NBT.B.5")</f>
        <v>2.NBT.B.5</v>
      </c>
      <c r="V7" s="155" t="str">
        <f ca="1">IFERROR(__xludf.DUMMYFUNCTION("""COMPUTED_VALUE"""),"Fluently add and subtract within 100 using strategies based on place value, properties of operations, and/or the relationship between addition and subtraction")</f>
        <v>Fluently add and subtract within 100 using strategies based on place value, properties of operations, and/or the relationship between addition and subtraction</v>
      </c>
      <c r="W7" s="76" t="b">
        <f ca="1">IFERROR(__xludf.DUMMYFUNCTION("""COMPUTED_VALUE"""),TRUE)</f>
        <v>1</v>
      </c>
      <c r="X7" s="76" t="b">
        <f ca="1">IFERROR(__xludf.DUMMYFUNCTION("""COMPUTED_VALUE"""),TRUE)</f>
        <v>1</v>
      </c>
      <c r="Y7" s="76" t="b">
        <f ca="1">IFERROR(__xludf.DUMMYFUNCTION("""COMPUTED_VALUE"""),TRUE)</f>
        <v>1</v>
      </c>
      <c r="Z7" s="76" t="b">
        <f ca="1">IFERROR(__xludf.DUMMYFUNCTION("""COMPUTED_VALUE"""),TRUE)</f>
        <v>1</v>
      </c>
      <c r="AA7" s="157"/>
      <c r="AB7" s="155" t="str">
        <f ca="1">IFERROR(__xludf.DUMMYFUNCTION("""COMPUTED_VALUE"""),"R - must be used when multipling/dividing and when 
completing 3rd grade expectations 
E - fluency progresses throughout the year as students grow 
into larger number sets
A-MAP   L- Science and data ")</f>
        <v xml:space="preserve">R - must be used when multipling/dividing and when 
completing 3rd grade expectations 
E - fluency progresses throughout the year as students grow 
into larger number sets
A-MAP   L- Science and data </v>
      </c>
      <c r="AC7" s="156"/>
      <c r="AD7" s="83"/>
      <c r="AE7" s="155"/>
      <c r="AF7" s="76"/>
      <c r="AG7" s="76"/>
      <c r="AH7" s="76"/>
      <c r="AI7" s="76"/>
      <c r="AJ7" s="83"/>
      <c r="AK7" s="155"/>
      <c r="AL7" s="156">
        <f ca="1">IFERROR(__xludf.DUMMYFUNCTION("""COMPUTED_VALUE"""),4)</f>
        <v>4</v>
      </c>
      <c r="AM7" s="83" t="str">
        <f ca="1">IFERROR(__xludf.DUMMYFUNCTION("""COMPUTED_VALUE"""),"4.NBT.B.6")</f>
        <v>4.NBT.B.6</v>
      </c>
      <c r="AN7" s="155" t="str">
        <f ca="1">IFERROR(__xludf.DUMMYFUNCTION("""COMPUTED_VALUE"""),"Find whole-number quotients and remainders with up to four-digit dividends and one-digit divisors, using strategies based on place value, the properties of operations, and/or the relationship between multiplication and division. Illustrate and explain the"&amp;" calculation by using equations, rectangular arrays, and/or area models")</f>
        <v>Find whole-number quotients and remainders with up to four-digit dividends and one-digit divisors, using strategies based on place value, the properties of operations, and/or the relationship between multiplication and division. Illustrate and explain the calculation by using equations, rectangular arrays, and/or area models</v>
      </c>
      <c r="AO7" s="76" t="b">
        <f ca="1">IFERROR(__xludf.DUMMYFUNCTION("""COMPUTED_VALUE"""),TRUE)</f>
        <v>1</v>
      </c>
      <c r="AP7" s="76" t="b">
        <f ca="1">IFERROR(__xludf.DUMMYFUNCTION("""COMPUTED_VALUE"""),TRUE)</f>
        <v>1</v>
      </c>
      <c r="AQ7" s="76" t="b">
        <f ca="1">IFERROR(__xludf.DUMMYFUNCTION("""COMPUTED_VALUE"""),TRUE)</f>
        <v>1</v>
      </c>
      <c r="AR7" s="76" t="b">
        <f ca="1">IFERROR(__xludf.DUMMYFUNCTION("""COMPUTED_VALUE"""),TRUE)</f>
        <v>1</v>
      </c>
      <c r="AS7" s="83"/>
      <c r="AT7" s="155" t="str">
        <f ca="1">IFERROR(__xludf.DUMMYFUNCTION("""COMPUTED_VALUE"""),"R-In 5th grade they will use the standard algorithm in division, as well as with decimals. 5.NBT.B.6
E-This will continue through the next several grade levels in math. 
A-ACT Aspire, MAP, Common assessment
L- connects to many parts of math (fractions, de"&amp;"cimals, etc.)")</f>
        <v>R-In 5th grade they will use the standard algorithm in division, as well as with decimals. 5.NBT.B.6
E-This will continue through the next several grade levels in math. 
A-ACT Aspire, MAP, Common assessment
L- connects to many parts of math (fractions, decimals, etc.)</v>
      </c>
      <c r="AU7" s="156"/>
      <c r="AV7" s="83"/>
      <c r="AW7" s="155"/>
      <c r="AX7" s="76"/>
      <c r="AY7" s="76"/>
      <c r="AZ7" s="76"/>
      <c r="BA7" s="76"/>
      <c r="BB7" s="83"/>
      <c r="BC7" s="155"/>
      <c r="BD7" s="155"/>
    </row>
    <row r="8" spans="1:56" ht="172.5">
      <c r="A8" s="253"/>
      <c r="B8" s="88"/>
      <c r="C8" s="83"/>
      <c r="D8" s="155"/>
      <c r="E8" s="76"/>
      <c r="F8" s="76"/>
      <c r="G8" s="76"/>
      <c r="H8" s="76"/>
      <c r="I8" s="83"/>
      <c r="J8" s="155"/>
      <c r="K8" s="88"/>
      <c r="L8" s="83"/>
      <c r="M8" s="155"/>
      <c r="N8" s="76"/>
      <c r="O8" s="76"/>
      <c r="P8" s="76"/>
      <c r="Q8" s="76"/>
      <c r="R8" s="83"/>
      <c r="S8" s="155"/>
      <c r="T8" s="156">
        <f ca="1">IFERROR(__xludf.DUMMYFUNCTION("""COMPUTED_VALUE"""),4)</f>
        <v>4</v>
      </c>
      <c r="U8" s="83" t="str">
        <f ca="1">IFERROR(__xludf.DUMMYFUNCTION("""COMPUTED_VALUE"""),"2.NBT.B.7")</f>
        <v>2.NBT.B.7</v>
      </c>
      <c r="V8" s="155" t="str">
        <f ca="1">IFERROR(__xludf.DUMMYFUNCTION("""COMPUTED_VALUE"""),"Add and subtract within 1000, using concrete models or drawings and strategies based on place value, properties of operations, and/or the relationship between addition and subtraction; relate the strategy to a written method. Understand that in adding or "&amp;"subtracting three-digit numbers, one adds or subtracts hundreds and hundreds, tens and tens, ones and ones; and sometimes it is necessary to compose or decompose tens or hundreds.")</f>
        <v>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v>
      </c>
      <c r="W8" s="76" t="b">
        <f ca="1">IFERROR(__xludf.DUMMYFUNCTION("""COMPUTED_VALUE"""),TRUE)</f>
        <v>1</v>
      </c>
      <c r="X8" s="76" t="b">
        <f ca="1">IFERROR(__xludf.DUMMYFUNCTION("""COMPUTED_VALUE"""),TRUE)</f>
        <v>1</v>
      </c>
      <c r="Y8" s="76" t="b">
        <f ca="1">IFERROR(__xludf.DUMMYFUNCTION("""COMPUTED_VALUE"""),TRUE)</f>
        <v>1</v>
      </c>
      <c r="Z8" s="76" t="b">
        <f ca="1">IFERROR(__xludf.DUMMYFUNCTION("""COMPUTED_VALUE"""),TRUE)</f>
        <v>1</v>
      </c>
      <c r="AA8" s="157"/>
      <c r="AB8" s="155" t="str">
        <f ca="1">IFERROR(__xludf.DUMMYFUNCTION("""COMPUTED_VALUE"""),"R - must be used when multipling/dividing and when 
completing 3rd grade expectations 
E - fluency progresses throughout the year as students grow 
into larger number sets
A-MAP   L- Science and data ")</f>
        <v xml:space="preserve">R - must be used when multipling/dividing and when 
completing 3rd grade expectations 
E - fluency progresses throughout the year as students grow 
into larger number sets
A-MAP   L- Science and data </v>
      </c>
      <c r="AC8" s="156"/>
      <c r="AD8" s="83"/>
      <c r="AE8" s="155"/>
      <c r="AF8" s="76"/>
      <c r="AG8" s="76"/>
      <c r="AH8" s="76"/>
      <c r="AI8" s="76"/>
      <c r="AJ8" s="83"/>
      <c r="AK8" s="155"/>
      <c r="AL8" s="156"/>
      <c r="AM8" s="83"/>
      <c r="AN8" s="155"/>
      <c r="AO8" s="76"/>
      <c r="AP8" s="76"/>
      <c r="AQ8" s="76"/>
      <c r="AR8" s="76"/>
      <c r="AS8" s="83"/>
      <c r="AT8" s="155"/>
      <c r="AU8" s="156"/>
      <c r="AV8" s="83"/>
      <c r="AW8" s="155"/>
      <c r="AX8" s="76"/>
      <c r="AY8" s="76"/>
      <c r="AZ8" s="76"/>
      <c r="BA8" s="76"/>
      <c r="BB8" s="83"/>
      <c r="BC8" s="155"/>
      <c r="BD8" s="155"/>
    </row>
    <row r="9" spans="1:56" ht="13">
      <c r="A9" s="253"/>
      <c r="B9" s="88"/>
      <c r="C9" s="83"/>
      <c r="D9" s="155"/>
      <c r="E9" s="76"/>
      <c r="F9" s="76"/>
      <c r="G9" s="76"/>
      <c r="H9" s="76"/>
      <c r="I9" s="83"/>
      <c r="J9" s="155"/>
      <c r="K9" s="88"/>
      <c r="L9" s="83"/>
      <c r="M9" s="155"/>
      <c r="N9" s="76"/>
      <c r="O9" s="76"/>
      <c r="P9" s="76"/>
      <c r="Q9" s="76"/>
      <c r="R9" s="83"/>
      <c r="S9" s="155"/>
      <c r="T9" s="156"/>
      <c r="U9" s="83"/>
      <c r="V9" s="155"/>
      <c r="W9" s="76"/>
      <c r="X9" s="76"/>
      <c r="Y9" s="76"/>
      <c r="Z9" s="76"/>
      <c r="AA9" s="157"/>
      <c r="AB9" s="155"/>
      <c r="AC9" s="156"/>
      <c r="AD9" s="83"/>
      <c r="AE9" s="155"/>
      <c r="AF9" s="76"/>
      <c r="AG9" s="76"/>
      <c r="AH9" s="76"/>
      <c r="AI9" s="76"/>
      <c r="AJ9" s="83"/>
      <c r="AK9" s="155"/>
      <c r="AL9" s="156"/>
      <c r="AM9" s="83"/>
      <c r="AN9" s="155"/>
      <c r="AO9" s="76"/>
      <c r="AP9" s="76"/>
      <c r="AQ9" s="76"/>
      <c r="AR9" s="76"/>
      <c r="AS9" s="83"/>
      <c r="AT9" s="155"/>
      <c r="AU9" s="156"/>
      <c r="AV9" s="83"/>
      <c r="AW9" s="155"/>
      <c r="AX9" s="76"/>
      <c r="AY9" s="76"/>
      <c r="AZ9" s="76"/>
      <c r="BA9" s="76"/>
      <c r="BB9" s="83"/>
      <c r="BC9" s="155"/>
      <c r="BD9" s="155"/>
    </row>
    <row r="10" spans="1:56" ht="13">
      <c r="A10" s="255"/>
      <c r="B10" s="88"/>
      <c r="C10" s="83"/>
      <c r="D10" s="155"/>
      <c r="E10" s="76"/>
      <c r="F10" s="76"/>
      <c r="G10" s="76"/>
      <c r="H10" s="76"/>
      <c r="I10" s="83"/>
      <c r="J10" s="155"/>
      <c r="K10" s="88"/>
      <c r="L10" s="83"/>
      <c r="M10" s="155"/>
      <c r="N10" s="76"/>
      <c r="O10" s="76"/>
      <c r="P10" s="76"/>
      <c r="Q10" s="76"/>
      <c r="R10" s="83"/>
      <c r="S10" s="155"/>
      <c r="T10" s="156"/>
      <c r="U10" s="83"/>
      <c r="V10" s="155"/>
      <c r="W10" s="76"/>
      <c r="X10" s="76"/>
      <c r="Y10" s="76"/>
      <c r="Z10" s="76"/>
      <c r="AA10" s="157"/>
      <c r="AB10" s="155"/>
      <c r="AC10" s="156"/>
      <c r="AD10" s="83"/>
      <c r="AE10" s="155"/>
      <c r="AF10" s="76"/>
      <c r="AG10" s="76"/>
      <c r="AH10" s="76"/>
      <c r="AI10" s="76"/>
      <c r="AJ10" s="83"/>
      <c r="AK10" s="155"/>
      <c r="AL10" s="156"/>
      <c r="AM10" s="83"/>
      <c r="AN10" s="155"/>
      <c r="AO10" s="76"/>
      <c r="AP10" s="76"/>
      <c r="AQ10" s="76"/>
      <c r="AR10" s="76"/>
      <c r="AS10" s="83"/>
      <c r="AT10" s="155"/>
      <c r="AU10" s="156"/>
      <c r="AV10" s="83"/>
      <c r="AW10" s="155"/>
      <c r="AX10" s="76"/>
      <c r="AY10" s="76"/>
      <c r="AZ10" s="76"/>
      <c r="BA10" s="76"/>
      <c r="BB10" s="83"/>
      <c r="BC10" s="155"/>
      <c r="BD10" s="155"/>
    </row>
    <row r="11" spans="1:56" ht="3.75" customHeight="1">
      <c r="A11" s="158"/>
      <c r="B11" s="158"/>
      <c r="C11" s="158"/>
      <c r="D11" s="158"/>
      <c r="E11" s="158"/>
      <c r="F11" s="158"/>
      <c r="G11" s="158"/>
      <c r="H11" s="158"/>
      <c r="I11" s="158"/>
      <c r="J11" s="158"/>
      <c r="K11" s="158"/>
      <c r="L11" s="158"/>
      <c r="M11" s="158"/>
      <c r="N11" s="158"/>
      <c r="O11" s="158"/>
      <c r="P11" s="158"/>
      <c r="Q11" s="158"/>
      <c r="R11" s="158"/>
      <c r="S11" s="158"/>
      <c r="T11" s="158"/>
      <c r="U11" s="158"/>
      <c r="V11" s="158"/>
      <c r="W11" s="158"/>
      <c r="X11" s="158"/>
      <c r="Y11" s="158"/>
      <c r="Z11" s="158"/>
      <c r="AA11" s="158"/>
      <c r="AB11" s="158"/>
      <c r="AC11" s="158"/>
      <c r="AD11" s="158"/>
      <c r="AE11" s="158"/>
      <c r="AF11" s="158"/>
      <c r="AG11" s="158"/>
      <c r="AH11" s="158"/>
      <c r="AI11" s="158"/>
      <c r="AJ11" s="158"/>
      <c r="AK11" s="158"/>
      <c r="AL11" s="158"/>
      <c r="AM11" s="158"/>
      <c r="AN11" s="158"/>
      <c r="AO11" s="158"/>
      <c r="AP11" s="158"/>
      <c r="AQ11" s="158"/>
      <c r="AR11" s="158"/>
      <c r="AS11" s="158"/>
      <c r="AT11" s="158"/>
      <c r="AU11" s="158"/>
      <c r="AV11" s="158"/>
      <c r="AW11" s="158"/>
      <c r="AX11" s="158"/>
      <c r="AY11" s="158"/>
      <c r="AZ11" s="158"/>
      <c r="BA11" s="158"/>
      <c r="BB11" s="158"/>
      <c r="BC11" s="158"/>
      <c r="BD11" s="159"/>
    </row>
    <row r="12" spans="1:56" ht="126.5">
      <c r="A12" s="252" t="s">
        <v>23</v>
      </c>
      <c r="B12" s="88">
        <f ca="1">IFERROR(__xludf.DUMMYFUNCTION("unique('K-M'!M36:U40)"),4)</f>
        <v>4</v>
      </c>
      <c r="C12" s="83" t="str">
        <f ca="1">IFERROR(__xludf.DUMMYFUNCTION("""COMPUTED_VALUE"""),"K.OA.A.1")</f>
        <v>K.OA.A.1</v>
      </c>
      <c r="D12" s="155" t="str">
        <f ca="1">IFERROR(__xludf.DUMMYFUNCTION("""COMPUTED_VALUE"""),"Represent addition and subtraction with objects, fingers, mental images, drawings, sounds (e.g., claps), acting out situations, verbal explanations, expressions, or equations.")</f>
        <v>Represent addition and subtraction with objects, fingers, mental images, drawings, sounds (e.g., claps), acting out situations, verbal explanations, expressions, or equations.</v>
      </c>
      <c r="E12" s="76" t="b">
        <f ca="1">IFERROR(__xludf.DUMMYFUNCTION("""COMPUTED_VALUE"""),TRUE)</f>
        <v>1</v>
      </c>
      <c r="F12" s="76" t="b">
        <f ca="1">IFERROR(__xludf.DUMMYFUNCTION("""COMPUTED_VALUE"""),TRUE)</f>
        <v>1</v>
      </c>
      <c r="G12" s="76" t="b">
        <f ca="1">IFERROR(__xludf.DUMMYFUNCTION("""COMPUTED_VALUE"""),TRUE)</f>
        <v>1</v>
      </c>
      <c r="H12" s="76" t="b">
        <f ca="1">IFERROR(__xludf.DUMMYFUNCTION("""COMPUTED_VALUE"""),TRUE)</f>
        <v>1</v>
      </c>
      <c r="I12" s="83"/>
      <c r="J12" s="155" t="str">
        <f ca="1">IFERROR(__xludf.DUMMYFUNCTION("""COMPUTED_VALUE"""),"R- Students need to be able to know the operations /skills without the story problems
E- Students will use this skill when solving word problems and equations with numbers only.
A- assessed on MAP
L- This can be used in science when they are collecting da"&amp;"ta")</f>
        <v>R- Students need to be able to know the operations /skills without the story problems
E- Students will use this skill when solving word problems and equations with numbers only.
A- assessed on MAP
L- This can be used in science when they are collecting data</v>
      </c>
      <c r="K12" s="88" t="str">
        <f ca="1">IFERROR(__xludf.DUMMYFUNCTION("unique('1-M'!M42:U49)"),"")</f>
        <v/>
      </c>
      <c r="L12" s="83" t="str">
        <f ca="1">IFERROR(__xludf.DUMMYFUNCTION("""COMPUTED_VALUE"""),"")</f>
        <v/>
      </c>
      <c r="M12" s="155" t="str">
        <f ca="1">IFERROR(__xludf.DUMMYFUNCTION("""COMPUTED_VALUE"""),"")</f>
        <v/>
      </c>
      <c r="N12" s="76" t="str">
        <f ca="1">IFERROR(__xludf.DUMMYFUNCTION("""COMPUTED_VALUE"""),"")</f>
        <v/>
      </c>
      <c r="O12" s="76" t="str">
        <f ca="1">IFERROR(__xludf.DUMMYFUNCTION("""COMPUTED_VALUE"""),"")</f>
        <v/>
      </c>
      <c r="P12" s="76" t="str">
        <f ca="1">IFERROR(__xludf.DUMMYFUNCTION("""COMPUTED_VALUE"""),"")</f>
        <v/>
      </c>
      <c r="Q12" s="76" t="str">
        <f ca="1">IFERROR(__xludf.DUMMYFUNCTION("""COMPUTED_VALUE"""),"")</f>
        <v/>
      </c>
      <c r="R12" s="83" t="str">
        <f ca="1">IFERROR(__xludf.DUMMYFUNCTION("""COMPUTED_VALUE"""),"")</f>
        <v/>
      </c>
      <c r="S12" s="155" t="str">
        <f ca="1">IFERROR(__xludf.DUMMYFUNCTION("""COMPUTED_VALUE"""),"")</f>
        <v/>
      </c>
      <c r="T12" s="156">
        <f ca="1">IFERROR(__xludf.DUMMYFUNCTION("unique('2-M'!M48:U51)"),4)</f>
        <v>4</v>
      </c>
      <c r="U12" s="83" t="str">
        <f ca="1">IFERROR(__xludf.DUMMYFUNCTION("""COMPUTED_VALUE"""),"2.OA.A.1")</f>
        <v>2.OA.A.1</v>
      </c>
      <c r="V12" s="155" t="str">
        <f ca="1">IFERROR(__xludf.DUMMYFUNCTION("""COMPUTED_VALUE"""),"Use addition and subtraction within 100 to solve one- and two-step word problems involving situations of adding to, taking from, putting together, taking apart, and comparing, with unknowns in all positions, e.g., by using drawings and equations with a sy"&amp;"mbol for the unknown number to represent the problem.")</f>
        <v>Use addition and subtraction within 100 to solve one- and two-step word problems involving situations of adding to, taking from, putting together, taking apart, and comparing, with unknowns in all positions, e.g., by using drawings and equations with a symbol for the unknown number to represent the problem.</v>
      </c>
      <c r="W12" s="76" t="b">
        <f ca="1">IFERROR(__xludf.DUMMYFUNCTION("""COMPUTED_VALUE"""),TRUE)</f>
        <v>1</v>
      </c>
      <c r="X12" s="76" t="b">
        <f ca="1">IFERROR(__xludf.DUMMYFUNCTION("""COMPUTED_VALUE"""),TRUE)</f>
        <v>1</v>
      </c>
      <c r="Y12" s="76" t="b">
        <f ca="1">IFERROR(__xludf.DUMMYFUNCTION("""COMPUTED_VALUE"""),TRUE)</f>
        <v>1</v>
      </c>
      <c r="Z12" s="76" t="b">
        <f ca="1">IFERROR(__xludf.DUMMYFUNCTION("""COMPUTED_VALUE"""),TRUE)</f>
        <v>1</v>
      </c>
      <c r="AA12" s="157"/>
      <c r="AB12" s="155" t="str">
        <f ca="1">IFERROR(__xludf.DUMMYFUNCTION("""COMPUTED_VALUE"""),"R- the foundations of solving all problems, E- heavy 
in word problems in order to decipher what the problem
is asking of them and how they want to solve and used 
all real word situations A-MAP L - Science ")</f>
        <v xml:space="preserve">R- the foundations of solving all problems, E- heavy 
in word problems in order to decipher what the problem
is asking of them and how they want to solve and used 
all real word situations A-MAP L - Science </v>
      </c>
      <c r="AC12" s="156" t="str">
        <f ca="1">IFERROR(__xludf.DUMMYFUNCTION("unique('3-M'!M55:U58)"),"")</f>
        <v/>
      </c>
      <c r="AD12" s="83" t="str">
        <f ca="1">IFERROR(__xludf.DUMMYFUNCTION("""COMPUTED_VALUE"""),"")</f>
        <v/>
      </c>
      <c r="AE12" s="155" t="str">
        <f ca="1">IFERROR(__xludf.DUMMYFUNCTION("""COMPUTED_VALUE"""),"")</f>
        <v/>
      </c>
      <c r="AF12" s="76" t="str">
        <f ca="1">IFERROR(__xludf.DUMMYFUNCTION("""COMPUTED_VALUE"""),"")</f>
        <v/>
      </c>
      <c r="AG12" s="76" t="str">
        <f ca="1">IFERROR(__xludf.DUMMYFUNCTION("""COMPUTED_VALUE"""),"")</f>
        <v/>
      </c>
      <c r="AH12" s="76" t="str">
        <f ca="1">IFERROR(__xludf.DUMMYFUNCTION("""COMPUTED_VALUE"""),"")</f>
        <v/>
      </c>
      <c r="AI12" s="76" t="str">
        <f ca="1">IFERROR(__xludf.DUMMYFUNCTION("""COMPUTED_VALUE"""),"")</f>
        <v/>
      </c>
      <c r="AJ12" s="83" t="str">
        <f ca="1">IFERROR(__xludf.DUMMYFUNCTION("""COMPUTED_VALUE"""),"")</f>
        <v/>
      </c>
      <c r="AK12" s="155" t="str">
        <f ca="1">IFERROR(__xludf.DUMMYFUNCTION("""COMPUTED_VALUE"""),"")</f>
        <v/>
      </c>
      <c r="AL12" s="156" t="str">
        <f ca="1">IFERROR(__xludf.DUMMYFUNCTION("unique('4-M'!M53:U57)"),"")</f>
        <v/>
      </c>
      <c r="AM12" s="83" t="str">
        <f ca="1">IFERROR(__xludf.DUMMYFUNCTION("""COMPUTED_VALUE"""),"")</f>
        <v/>
      </c>
      <c r="AN12" s="155" t="str">
        <f ca="1">IFERROR(__xludf.DUMMYFUNCTION("""COMPUTED_VALUE"""),"")</f>
        <v/>
      </c>
      <c r="AO12" s="76" t="str">
        <f ca="1">IFERROR(__xludf.DUMMYFUNCTION("""COMPUTED_VALUE"""),"")</f>
        <v/>
      </c>
      <c r="AP12" s="76" t="str">
        <f ca="1">IFERROR(__xludf.DUMMYFUNCTION("""COMPUTED_VALUE"""),"")</f>
        <v/>
      </c>
      <c r="AQ12" s="76" t="str">
        <f ca="1">IFERROR(__xludf.DUMMYFUNCTION("""COMPUTED_VALUE"""),"")</f>
        <v/>
      </c>
      <c r="AR12" s="76" t="str">
        <f ca="1">IFERROR(__xludf.DUMMYFUNCTION("""COMPUTED_VALUE"""),"")</f>
        <v/>
      </c>
      <c r="AS12" s="83" t="str">
        <f ca="1">IFERROR(__xludf.DUMMYFUNCTION("""COMPUTED_VALUE"""),"")</f>
        <v/>
      </c>
      <c r="AT12" s="155" t="str">
        <f ca="1">IFERROR(__xludf.DUMMYFUNCTION("""COMPUTED_VALUE"""),"")</f>
        <v/>
      </c>
      <c r="AU12" s="156" t="str">
        <f ca="1">IFERROR(__xludf.DUMMYFUNCTION("unique('5-M'!M57:U59)"),"")</f>
        <v/>
      </c>
      <c r="AV12" s="83" t="str">
        <f ca="1">IFERROR(__xludf.DUMMYFUNCTION("""COMPUTED_VALUE"""),"")</f>
        <v/>
      </c>
      <c r="AW12" s="155" t="str">
        <f ca="1">IFERROR(__xludf.DUMMYFUNCTION("""COMPUTED_VALUE"""),"")</f>
        <v/>
      </c>
      <c r="AX12" s="76" t="str">
        <f ca="1">IFERROR(__xludf.DUMMYFUNCTION("""COMPUTED_VALUE"""),"")</f>
        <v/>
      </c>
      <c r="AY12" s="76" t="str">
        <f ca="1">IFERROR(__xludf.DUMMYFUNCTION("""COMPUTED_VALUE"""),"")</f>
        <v/>
      </c>
      <c r="AZ12" s="76" t="str">
        <f ca="1">IFERROR(__xludf.DUMMYFUNCTION("""COMPUTED_VALUE"""),"")</f>
        <v/>
      </c>
      <c r="BA12" s="76" t="str">
        <f ca="1">IFERROR(__xludf.DUMMYFUNCTION("""COMPUTED_VALUE"""),"")</f>
        <v/>
      </c>
      <c r="BB12" s="83" t="str">
        <f ca="1">IFERROR(__xludf.DUMMYFUNCTION("""COMPUTED_VALUE"""),"")</f>
        <v/>
      </c>
      <c r="BC12" s="155" t="str">
        <f ca="1">IFERROR(__xludf.DUMMYFUNCTION("""COMPUTED_VALUE"""),"")</f>
        <v/>
      </c>
      <c r="BD12" s="155"/>
    </row>
    <row r="13" spans="1:56" ht="195.5">
      <c r="A13" s="253"/>
      <c r="B13" s="88">
        <f ca="1">IFERROR(__xludf.DUMMYFUNCTION("""COMPUTED_VALUE"""),4)</f>
        <v>4</v>
      </c>
      <c r="C13" s="83" t="str">
        <f ca="1">IFERROR(__xludf.DUMMYFUNCTION("""COMPUTED_VALUE"""),"K.OA.A.2")</f>
        <v>K.OA.A.2</v>
      </c>
      <c r="D13" s="155" t="str">
        <f ca="1">IFERROR(__xludf.DUMMYFUNCTION("""COMPUTED_VALUE"""),"Solve addition and subtraction word problems, and add and subtract within 10, e.g., by using objects or drawings to represent the problem.")</f>
        <v>Solve addition and subtraction word problems, and add and subtract within 10, e.g., by using objects or drawings to represent the problem.</v>
      </c>
      <c r="E13" s="76" t="b">
        <f ca="1">IFERROR(__xludf.DUMMYFUNCTION("""COMPUTED_VALUE"""),TRUE)</f>
        <v>1</v>
      </c>
      <c r="F13" s="76" t="b">
        <f ca="1">IFERROR(__xludf.DUMMYFUNCTION("""COMPUTED_VALUE"""),TRUE)</f>
        <v>1</v>
      </c>
      <c r="G13" s="76" t="b">
        <f ca="1">IFERROR(__xludf.DUMMYFUNCTION("""COMPUTED_VALUE"""),TRUE)</f>
        <v>1</v>
      </c>
      <c r="H13" s="76" t="b">
        <f ca="1">IFERROR(__xludf.DUMMYFUNCTION("""COMPUTED_VALUE"""),TRUE)</f>
        <v>1</v>
      </c>
      <c r="I13" s="83"/>
      <c r="J13" s="155" t="str">
        <f ca="1">IFERROR(__xludf.DUMMYFUNCTION("""COMPUTED_VALUE"""),"R- 1st grade will build upon this learning
E- Addition &amp; subtraction  will be taught and used across 
grade-levels
A-assessed on MAP
L- students will use this skill in skip counting, counting
addition, and subtraction ")</f>
        <v xml:space="preserve">R- 1st grade will build upon this learning
E- Addition &amp; subtraction  will be taught and used across 
grade-levels
A-assessed on MAP
L- students will use this skill in skip counting, counting
addition, and subtraction </v>
      </c>
      <c r="K13" s="88">
        <f ca="1">IFERROR(__xludf.DUMMYFUNCTION("""COMPUTED_VALUE"""),4)</f>
        <v>4</v>
      </c>
      <c r="L13" s="83" t="str">
        <f ca="1">IFERROR(__xludf.DUMMYFUNCTION("""COMPUTED_VALUE"""),"1.OA.C.6")</f>
        <v>1.OA.C.6</v>
      </c>
      <c r="M13" s="155" t="str">
        <f ca="1">IFERROR(__xludf.DUMMYFUNCTION("""COMPUTED_VALUE"""),"Add and subtract within 20, demonstrating fluency for addition and subtraction within 10. Use strategies such as counting on; making ten (e.g., 8 + 6 = 8 + 2 + 4 = 10 + 4 = 14); decomposing a number leading to a ten (e.g., 13 – 4 = 13 – 3 – 1 = 10 – 1 = 9"&amp;"); using the relationship between addition and subtraction (e.g., knowing that 8 + 4 = 12, one knows 12 – 8 = 4); and creating equivalent but easier or known sums (e.g., adding 6 + 7 by creating the known equivalent 6 + 6 + 1 = 12 + 1 = 13).")</f>
        <v>Add and subtract within 20, demonstrating fluency for addition and subtraction within 10.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v>
      </c>
      <c r="N13" s="76" t="b">
        <f ca="1">IFERROR(__xludf.DUMMYFUNCTION("""COMPUTED_VALUE"""),TRUE)</f>
        <v>1</v>
      </c>
      <c r="O13" s="76" t="b">
        <f ca="1">IFERROR(__xludf.DUMMYFUNCTION("""COMPUTED_VALUE"""),TRUE)</f>
        <v>1</v>
      </c>
      <c r="P13" s="76" t="b">
        <f ca="1">IFERROR(__xludf.DUMMYFUNCTION("""COMPUTED_VALUE"""),TRUE)</f>
        <v>1</v>
      </c>
      <c r="Q13" s="76" t="b">
        <f ca="1">IFERROR(__xludf.DUMMYFUNCTION("""COMPUTED_VALUE"""),TRUE)</f>
        <v>1</v>
      </c>
      <c r="R13" s="83"/>
      <c r="S13" s="155" t="str">
        <f ca="1">IFERROR(__xludf.DUMMYFUNCTION("""COMPUTED_VALUE"""),"R-This is a foundational skill. E-This is necessary for deeper math. A-This is assessed. L-social studies")</f>
        <v>R-This is a foundational skill. E-This is necessary for deeper math. A-This is assessed. L-social studies</v>
      </c>
      <c r="T13" s="156" t="str">
        <f ca="1">IFERROR(__xludf.DUMMYFUNCTION("""COMPUTED_VALUE"""),"")</f>
        <v/>
      </c>
      <c r="U13" s="83" t="str">
        <f ca="1">IFERROR(__xludf.DUMMYFUNCTION("""COMPUTED_VALUE"""),"")</f>
        <v/>
      </c>
      <c r="V13" s="155" t="str">
        <f ca="1">IFERROR(__xludf.DUMMYFUNCTION("""COMPUTED_VALUE"""),"")</f>
        <v/>
      </c>
      <c r="W13" s="76" t="str">
        <f ca="1">IFERROR(__xludf.DUMMYFUNCTION("""COMPUTED_VALUE"""),"")</f>
        <v/>
      </c>
      <c r="X13" s="76" t="str">
        <f ca="1">IFERROR(__xludf.DUMMYFUNCTION("""COMPUTED_VALUE"""),"")</f>
        <v/>
      </c>
      <c r="Y13" s="76" t="str">
        <f ca="1">IFERROR(__xludf.DUMMYFUNCTION("""COMPUTED_VALUE"""),"")</f>
        <v/>
      </c>
      <c r="Z13" s="76" t="str">
        <f ca="1">IFERROR(__xludf.DUMMYFUNCTION("""COMPUTED_VALUE"""),"")</f>
        <v/>
      </c>
      <c r="AA13" s="157" t="str">
        <f ca="1">IFERROR(__xludf.DUMMYFUNCTION("""COMPUTED_VALUE"""),"")</f>
        <v/>
      </c>
      <c r="AB13" s="155" t="str">
        <f ca="1">IFERROR(__xludf.DUMMYFUNCTION("""COMPUTED_VALUE"""),"")</f>
        <v/>
      </c>
      <c r="AC13" s="156">
        <f ca="1">IFERROR(__xludf.DUMMYFUNCTION("""COMPUTED_VALUE"""),4)</f>
        <v>4</v>
      </c>
      <c r="AD13" s="83" t="str">
        <f ca="1">IFERROR(__xludf.DUMMYFUNCTION("""COMPUTED_VALUE"""),"3.OA.A.3")</f>
        <v>3.OA.A.3</v>
      </c>
      <c r="AE13" s="155" t="str">
        <f ca="1">IFERROR(__xludf.DUMMYFUNCTION("""COMPUTED_VALUE"""),"Use multiplication and division within 100 to solve word problems in situations involving equal groups, arrays, and measurement quantities, e.g., by using drawings and equations with a symbol for the unknown number to represent the problem.")</f>
        <v>Use multiplication and division within 100 to solve word problems in situations involving equal groups, arrays, and measurement quantities, e.g., by using drawings and equations with a symbol for the unknown number to represent the problem.</v>
      </c>
      <c r="AF13" s="76" t="b">
        <f ca="1">IFERROR(__xludf.DUMMYFUNCTION("""COMPUTED_VALUE"""),TRUE)</f>
        <v>1</v>
      </c>
      <c r="AG13" s="76" t="b">
        <f ca="1">IFERROR(__xludf.DUMMYFUNCTION("""COMPUTED_VALUE"""),TRUE)</f>
        <v>1</v>
      </c>
      <c r="AH13" s="76" t="b">
        <f ca="1">IFERROR(__xludf.DUMMYFUNCTION("""COMPUTED_VALUE"""),TRUE)</f>
        <v>1</v>
      </c>
      <c r="AI13" s="76" t="b">
        <f ca="1">IFERROR(__xludf.DUMMYFUNCTION("""COMPUTED_VALUE"""),TRUE)</f>
        <v>1</v>
      </c>
      <c r="AJ13" s="83"/>
      <c r="AK13" s="155" t="str">
        <f ca="1">IFERROR(__xludf.DUMMYFUNCTION("""COMPUTED_VALUE"""),"R-They will build in fractions with these operations. E-multiple problem situations through the year. A- it is assessed in multiple ways L- used in science too")</f>
        <v>R-They will build in fractions with these operations. E-multiple problem situations through the year. A- it is assessed in multiple ways L- used in science too</v>
      </c>
      <c r="AL13" s="156">
        <f ca="1">IFERROR(__xludf.DUMMYFUNCTION("""COMPUTED_VALUE"""),4)</f>
        <v>4</v>
      </c>
      <c r="AM13" s="83" t="str">
        <f ca="1">IFERROR(__xludf.DUMMYFUNCTION("""COMPUTED_VALUE"""),"4.OA.B.4")</f>
        <v>4.OA.B.4</v>
      </c>
      <c r="AN13" s="155" t="str">
        <f ca="1">IFERROR(__xludf.DUMMYFUNCTION("""COMPUTED_VALUE"""),"Find all factor pairs for a whole number in the range 1–100. Recognize that a whole number is a multiple of each of its factors. Determine whether a given whole number in the range 1–100 is a multiple of a given one-digit number. Determine whether a given"&amp;" whole number in the range 1–100 is prime or composite.")</f>
        <v>Find all factor pairs for a whole number in the range 1–100. Recognize that a whole number is a multiple of each of its factors. Determine whether a given whole number in the range 1–100 is a multiple of a given one-digit number. Determine whether a given whole number in the range 1–100 is prime or composite.</v>
      </c>
      <c r="AO13" s="76" t="b">
        <f ca="1">IFERROR(__xludf.DUMMYFUNCTION("""COMPUTED_VALUE"""),TRUE)</f>
        <v>1</v>
      </c>
      <c r="AP13" s="76" t="b">
        <f ca="1">IFERROR(__xludf.DUMMYFUNCTION("""COMPUTED_VALUE"""),TRUE)</f>
        <v>1</v>
      </c>
      <c r="AQ13" s="76" t="b">
        <f ca="1">IFERROR(__xludf.DUMMYFUNCTION("""COMPUTED_VALUE"""),TRUE)</f>
        <v>1</v>
      </c>
      <c r="AR13" s="76" t="b">
        <f ca="1">IFERROR(__xludf.DUMMYFUNCTION("""COMPUTED_VALUE"""),TRUE)</f>
        <v>1</v>
      </c>
      <c r="AS13" s="83"/>
      <c r="AT13" s="155" t="str">
        <f ca="1">IFERROR(__xludf.DUMMYFUNCTION("""COMPUTED_VALUE"""),"R-In 5th grade they will need to apply this knowledge to the understanding of finding like denominators, standard algorithm, etc. 
E-This will continue through the next several grade levels in math. 
A-ACT Aspire, MAP, Common assessment
L- Connects to man"&amp;"y parts of math (division, multiplication, fractions, decimals, etc.)")</f>
        <v>R-In 5th grade they will need to apply this knowledge to the understanding of finding like denominators, standard algorithm, etc. 
E-This will continue through the next several grade levels in math. 
A-ACT Aspire, MAP, Common assessment
L- Connects to many parts of math (division, multiplication, fractions, decimals, etc.)</v>
      </c>
      <c r="AU13" s="156">
        <f ca="1">IFERROR(__xludf.DUMMYFUNCTION("""COMPUTED_VALUE"""),4)</f>
        <v>4</v>
      </c>
      <c r="AV13" s="83" t="str">
        <f ca="1">IFERROR(__xludf.DUMMYFUNCTION("""COMPUTED_VALUE"""),"5.OA.A.2")</f>
        <v>5.OA.A.2</v>
      </c>
      <c r="AW13" s="155" t="str">
        <f ca="1">IFERROR(__xludf.DUMMYFUNCTION("""COMPUTED_VALUE"""),"Write simple expressions that record calculations with numbers, and interpret numerical expressions without evaluating them. For example, express the calculation “add 8 and 7, then multiply by 2” as 2 × (8 + 7). Recognize that 3 × (18932 + 921) is three t"&amp;"imes as large as 18932 + 921, without having to calculate the indicated sum or product.")</f>
        <v>Write simple expressions that record calculations with numbers, and interpret numerical expressions without evaluating them. For example, express the calculation “add 8 and 7, then multiply by 2” as 2 × (8 + 7). Recognize that 3 × (18932 + 921) is three times as large as 18932 + 921, without having to calculate the indicated sum or product.</v>
      </c>
      <c r="AX13" s="76" t="b">
        <f ca="1">IFERROR(__xludf.DUMMYFUNCTION("""COMPUTED_VALUE"""),TRUE)</f>
        <v>1</v>
      </c>
      <c r="AY13" s="76" t="b">
        <f ca="1">IFERROR(__xludf.DUMMYFUNCTION("""COMPUTED_VALUE"""),TRUE)</f>
        <v>1</v>
      </c>
      <c r="AZ13" s="76" t="b">
        <f ca="1">IFERROR(__xludf.DUMMYFUNCTION("""COMPUTED_VALUE"""),TRUE)</f>
        <v>1</v>
      </c>
      <c r="BA13" s="76" t="b">
        <f ca="1">IFERROR(__xludf.DUMMYFUNCTION("""COMPUTED_VALUE"""),TRUE)</f>
        <v>1</v>
      </c>
      <c r="BB13" s="83"/>
      <c r="BC13" s="155" t="str">
        <f ca="1">IFERROR(__xludf.DUMMYFUNCTION("""COMPUTED_VALUE"""),"R- Apply the property of operations to generate equivalent expressions (6.EE.A.3) 
E- writing number sentences that represents their thinking is the first step in the justification process. 
A- ACT Aspire open response and multiple choice, MAP 
L- use in "&amp;"problem solving in other areas of math and science")</f>
        <v>R- Apply the property of operations to generate equivalent expressions (6.EE.A.3) 
E- writing number sentences that represents their thinking is the first step in the justification process. 
A- ACT Aspire open response and multiple choice, MAP 
L- use in problem solving in other areas of math and science</v>
      </c>
      <c r="BD13" s="155"/>
    </row>
    <row r="14" spans="1:56" ht="69">
      <c r="A14" s="253"/>
      <c r="B14" s="88" t="str">
        <f ca="1">IFERROR(__xludf.DUMMYFUNCTION("""COMPUTED_VALUE"""),"")</f>
        <v/>
      </c>
      <c r="C14" s="83" t="str">
        <f ca="1">IFERROR(__xludf.DUMMYFUNCTION("""COMPUTED_VALUE"""),"")</f>
        <v/>
      </c>
      <c r="D14" s="155" t="str">
        <f ca="1">IFERROR(__xludf.DUMMYFUNCTION("""COMPUTED_VALUE"""),"")</f>
        <v/>
      </c>
      <c r="E14" s="76" t="str">
        <f ca="1">IFERROR(__xludf.DUMMYFUNCTION("""COMPUTED_VALUE"""),"")</f>
        <v/>
      </c>
      <c r="F14" s="76" t="str">
        <f ca="1">IFERROR(__xludf.DUMMYFUNCTION("""COMPUTED_VALUE"""),"")</f>
        <v/>
      </c>
      <c r="G14" s="76" t="str">
        <f ca="1">IFERROR(__xludf.DUMMYFUNCTION("""COMPUTED_VALUE"""),"")</f>
        <v/>
      </c>
      <c r="H14" s="76" t="str">
        <f ca="1">IFERROR(__xludf.DUMMYFUNCTION("""COMPUTED_VALUE"""),"")</f>
        <v/>
      </c>
      <c r="I14" s="83" t="str">
        <f ca="1">IFERROR(__xludf.DUMMYFUNCTION("""COMPUTED_VALUE"""),"")</f>
        <v/>
      </c>
      <c r="J14" s="155" t="str">
        <f ca="1">IFERROR(__xludf.DUMMYFUNCTION("""COMPUTED_VALUE"""),"")</f>
        <v/>
      </c>
      <c r="K14" s="88"/>
      <c r="L14" s="83"/>
      <c r="M14" s="155"/>
      <c r="N14" s="76"/>
      <c r="O14" s="76"/>
      <c r="P14" s="76"/>
      <c r="Q14" s="76"/>
      <c r="R14" s="83"/>
      <c r="S14" s="155"/>
      <c r="T14" s="156">
        <f ca="1">IFERROR(__xludf.DUMMYFUNCTION("""COMPUTED_VALUE"""),3)</f>
        <v>3</v>
      </c>
      <c r="U14" s="83" t="str">
        <f ca="1">IFERROR(__xludf.DUMMYFUNCTION("""COMPUTED_VALUE"""),"2.OA.C.4")</f>
        <v>2.OA.C.4</v>
      </c>
      <c r="V14" s="155" t="str">
        <f ca="1">IFERROR(__xludf.DUMMYFUNCTION("""COMPUTED_VALUE"""),"Use addition to find the total number of objects arranged in rectangular arrays with up to 5 rows and up to 5 columns; write an equation to express the total as a sum of equal addends.")</f>
        <v>Use addition to find the total number of objects arranged in rectangular arrays with up to 5 rows and up to 5 columns; write an equation to express the total as a sum of equal addends.</v>
      </c>
      <c r="W14" s="76" t="b">
        <f ca="1">IFERROR(__xludf.DUMMYFUNCTION("""COMPUTED_VALUE"""),TRUE)</f>
        <v>1</v>
      </c>
      <c r="X14" s="76" t="b">
        <f ca="1">IFERROR(__xludf.DUMMYFUNCTION("""COMPUTED_VALUE"""),TRUE)</f>
        <v>1</v>
      </c>
      <c r="Y14" s="76" t="b">
        <f ca="1">IFERROR(__xludf.DUMMYFUNCTION("""COMPUTED_VALUE"""),TRUE)</f>
        <v>1</v>
      </c>
      <c r="Z14" s="76" t="b">
        <f ca="1">IFERROR(__xludf.DUMMYFUNCTION("""COMPUTED_VALUE"""),FALSE)</f>
        <v>0</v>
      </c>
      <c r="AA14" s="157"/>
      <c r="AB14" s="155" t="str">
        <f ca="1">IFERROR(__xludf.DUMMYFUNCTION("""COMPUTED_VALUE"""),"R - exposure of foundational school for next 
E- builds for multiplication understanding for third 
grade")</f>
        <v>R - exposure of foundational school for next 
E- builds for multiplication understanding for third 
grade</v>
      </c>
      <c r="AC14" s="156"/>
      <c r="AD14" s="83"/>
      <c r="AE14" s="155"/>
      <c r="AF14" s="76"/>
      <c r="AG14" s="76"/>
      <c r="AH14" s="76"/>
      <c r="AI14" s="76"/>
      <c r="AJ14" s="83"/>
      <c r="AK14" s="155"/>
      <c r="AL14" s="156"/>
      <c r="AM14" s="83"/>
      <c r="AN14" s="155"/>
      <c r="AO14" s="76"/>
      <c r="AP14" s="76"/>
      <c r="AQ14" s="76"/>
      <c r="AR14" s="76"/>
      <c r="AS14" s="83"/>
      <c r="AT14" s="155"/>
      <c r="AU14" s="156"/>
      <c r="AV14" s="83"/>
      <c r="AW14" s="155"/>
      <c r="AX14" s="76"/>
      <c r="AY14" s="76"/>
      <c r="AZ14" s="76"/>
      <c r="BA14" s="76"/>
      <c r="BB14" s="83"/>
      <c r="BC14" s="155"/>
      <c r="BD14" s="155"/>
    </row>
    <row r="15" spans="1:56" ht="13">
      <c r="A15" s="253"/>
      <c r="B15" s="88"/>
      <c r="C15" s="83"/>
      <c r="D15" s="155"/>
      <c r="E15" s="76"/>
      <c r="F15" s="76"/>
      <c r="G15" s="76"/>
      <c r="H15" s="76"/>
      <c r="I15" s="83"/>
      <c r="J15" s="155"/>
      <c r="K15" s="88"/>
      <c r="L15" s="83"/>
      <c r="M15" s="155"/>
      <c r="N15" s="76"/>
      <c r="O15" s="76"/>
      <c r="P15" s="76"/>
      <c r="Q15" s="76"/>
      <c r="R15" s="83"/>
      <c r="S15" s="155"/>
      <c r="T15" s="156"/>
      <c r="U15" s="83"/>
      <c r="V15" s="155"/>
      <c r="W15" s="76"/>
      <c r="X15" s="76"/>
      <c r="Y15" s="76"/>
      <c r="Z15" s="76"/>
      <c r="AA15" s="157"/>
      <c r="AB15" s="155"/>
      <c r="AC15" s="156"/>
      <c r="AD15" s="83"/>
      <c r="AE15" s="155"/>
      <c r="AF15" s="76"/>
      <c r="AG15" s="76"/>
      <c r="AH15" s="76"/>
      <c r="AI15" s="76"/>
      <c r="AJ15" s="83"/>
      <c r="AK15" s="155"/>
      <c r="AL15" s="156"/>
      <c r="AM15" s="83"/>
      <c r="AN15" s="155"/>
      <c r="AO15" s="76"/>
      <c r="AP15" s="76"/>
      <c r="AQ15" s="76"/>
      <c r="AR15" s="76"/>
      <c r="AS15" s="83"/>
      <c r="AT15" s="155"/>
      <c r="AU15" s="156"/>
      <c r="AV15" s="83"/>
      <c r="AW15" s="155"/>
      <c r="AX15" s="76"/>
      <c r="AY15" s="76"/>
      <c r="AZ15" s="76"/>
      <c r="BA15" s="76"/>
      <c r="BB15" s="83"/>
      <c r="BC15" s="155"/>
      <c r="BD15" s="155"/>
    </row>
    <row r="16" spans="1:56" ht="13">
      <c r="A16" s="253"/>
      <c r="B16" s="88"/>
      <c r="C16" s="83"/>
      <c r="D16" s="155"/>
      <c r="E16" s="76"/>
      <c r="F16" s="76"/>
      <c r="G16" s="76"/>
      <c r="H16" s="76"/>
      <c r="I16" s="83"/>
      <c r="J16" s="155"/>
      <c r="K16" s="88"/>
      <c r="L16" s="83"/>
      <c r="M16" s="155"/>
      <c r="N16" s="76"/>
      <c r="O16" s="76"/>
      <c r="P16" s="76"/>
      <c r="Q16" s="76"/>
      <c r="R16" s="83"/>
      <c r="S16" s="155"/>
      <c r="T16" s="156"/>
      <c r="U16" s="83"/>
      <c r="V16" s="155"/>
      <c r="W16" s="76"/>
      <c r="X16" s="76"/>
      <c r="Y16" s="76"/>
      <c r="Z16" s="76"/>
      <c r="AA16" s="157"/>
      <c r="AB16" s="155"/>
      <c r="AC16" s="156"/>
      <c r="AD16" s="83"/>
      <c r="AE16" s="155"/>
      <c r="AF16" s="76"/>
      <c r="AG16" s="76"/>
      <c r="AH16" s="76"/>
      <c r="AI16" s="76"/>
      <c r="AJ16" s="83"/>
      <c r="AK16" s="155"/>
      <c r="AL16" s="156"/>
      <c r="AM16" s="83"/>
      <c r="AN16" s="155"/>
      <c r="AO16" s="76"/>
      <c r="AP16" s="76"/>
      <c r="AQ16" s="76"/>
      <c r="AR16" s="76"/>
      <c r="AS16" s="83"/>
      <c r="AT16" s="155"/>
      <c r="AU16" s="156"/>
      <c r="AV16" s="83"/>
      <c r="AW16" s="155"/>
      <c r="AX16" s="76"/>
      <c r="AY16" s="76"/>
      <c r="AZ16" s="76"/>
      <c r="BA16" s="76"/>
      <c r="BB16" s="83"/>
      <c r="BC16" s="155"/>
      <c r="BD16" s="155"/>
    </row>
    <row r="17" spans="1:56" ht="13">
      <c r="A17" s="253"/>
      <c r="B17" s="88"/>
      <c r="C17" s="83"/>
      <c r="D17" s="155"/>
      <c r="E17" s="76"/>
      <c r="F17" s="76"/>
      <c r="G17" s="76"/>
      <c r="H17" s="76"/>
      <c r="I17" s="83"/>
      <c r="J17" s="155"/>
      <c r="K17" s="88"/>
      <c r="L17" s="83"/>
      <c r="M17" s="155"/>
      <c r="N17" s="76"/>
      <c r="O17" s="76"/>
      <c r="P17" s="76"/>
      <c r="Q17" s="76"/>
      <c r="R17" s="83"/>
      <c r="S17" s="155"/>
      <c r="T17" s="156"/>
      <c r="U17" s="83"/>
      <c r="V17" s="155"/>
      <c r="W17" s="76"/>
      <c r="X17" s="76"/>
      <c r="Y17" s="76"/>
      <c r="Z17" s="76"/>
      <c r="AA17" s="157"/>
      <c r="AB17" s="155"/>
      <c r="AC17" s="156"/>
      <c r="AD17" s="83"/>
      <c r="AE17" s="155"/>
      <c r="AF17" s="76"/>
      <c r="AG17" s="76"/>
      <c r="AH17" s="76"/>
      <c r="AI17" s="76"/>
      <c r="AJ17" s="83"/>
      <c r="AK17" s="155"/>
      <c r="AL17" s="156"/>
      <c r="AM17" s="83"/>
      <c r="AN17" s="155"/>
      <c r="AO17" s="76"/>
      <c r="AP17" s="76"/>
      <c r="AQ17" s="76"/>
      <c r="AR17" s="76"/>
      <c r="AS17" s="83"/>
      <c r="AT17" s="155"/>
      <c r="AU17" s="156"/>
      <c r="AV17" s="83"/>
      <c r="AW17" s="155"/>
      <c r="AX17" s="76"/>
      <c r="AY17" s="76"/>
      <c r="AZ17" s="76"/>
      <c r="BA17" s="76"/>
      <c r="BB17" s="83"/>
      <c r="BC17" s="155"/>
      <c r="BD17" s="155"/>
    </row>
    <row r="18" spans="1:56" ht="3.75" customHeight="1">
      <c r="A18" s="158"/>
      <c r="B18" s="158"/>
      <c r="C18" s="158"/>
      <c r="D18" s="158"/>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8"/>
      <c r="BA18" s="158"/>
      <c r="BB18" s="158"/>
      <c r="BC18" s="158"/>
      <c r="BD18" s="159"/>
    </row>
    <row r="19" spans="1:56" ht="230">
      <c r="A19" s="254" t="s">
        <v>39</v>
      </c>
      <c r="B19" s="88" t="str">
        <f ca="1">IFERROR(__xludf.DUMMYFUNCTION("unique('K-M'!M43:U47)"),"")</f>
        <v/>
      </c>
      <c r="C19" s="83" t="str">
        <f ca="1">IFERROR(__xludf.DUMMYFUNCTION("""COMPUTED_VALUE"""),"")</f>
        <v/>
      </c>
      <c r="D19" s="155" t="str">
        <f ca="1">IFERROR(__xludf.DUMMYFUNCTION("""COMPUTED_VALUE"""),"")</f>
        <v/>
      </c>
      <c r="E19" s="76" t="str">
        <f ca="1">IFERROR(__xludf.DUMMYFUNCTION("""COMPUTED_VALUE"""),"")</f>
        <v/>
      </c>
      <c r="F19" s="76" t="str">
        <f ca="1">IFERROR(__xludf.DUMMYFUNCTION("""COMPUTED_VALUE"""),"")</f>
        <v/>
      </c>
      <c r="G19" s="76" t="str">
        <f ca="1">IFERROR(__xludf.DUMMYFUNCTION("""COMPUTED_VALUE"""),"")</f>
        <v/>
      </c>
      <c r="H19" s="76" t="str">
        <f ca="1">IFERROR(__xludf.DUMMYFUNCTION("""COMPUTED_VALUE"""),"")</f>
        <v/>
      </c>
      <c r="I19" s="83" t="str">
        <f ca="1">IFERROR(__xludf.DUMMYFUNCTION("""COMPUTED_VALUE"""),"")</f>
        <v/>
      </c>
      <c r="J19" s="155" t="str">
        <f ca="1">IFERROR(__xludf.DUMMYFUNCTION("""COMPUTED_VALUE"""),"")</f>
        <v/>
      </c>
      <c r="K19" s="88" t="str">
        <f ca="1">IFERROR(__xludf.DUMMYFUNCTION("unique('1-M'!M50:U52)"),"")</f>
        <v/>
      </c>
      <c r="L19" s="83" t="str">
        <f ca="1">IFERROR(__xludf.DUMMYFUNCTION("""COMPUTED_VALUE"""),"")</f>
        <v/>
      </c>
      <c r="M19" s="155" t="str">
        <f ca="1">IFERROR(__xludf.DUMMYFUNCTION("""COMPUTED_VALUE"""),"")</f>
        <v/>
      </c>
      <c r="N19" s="76" t="str">
        <f ca="1">IFERROR(__xludf.DUMMYFUNCTION("""COMPUTED_VALUE"""),"")</f>
        <v/>
      </c>
      <c r="O19" s="76" t="str">
        <f ca="1">IFERROR(__xludf.DUMMYFUNCTION("""COMPUTED_VALUE"""),"")</f>
        <v/>
      </c>
      <c r="P19" s="76" t="str">
        <f ca="1">IFERROR(__xludf.DUMMYFUNCTION("""COMPUTED_VALUE"""),"")</f>
        <v/>
      </c>
      <c r="Q19" s="76" t="str">
        <f ca="1">IFERROR(__xludf.DUMMYFUNCTION("""COMPUTED_VALUE"""),"")</f>
        <v/>
      </c>
      <c r="R19" s="83" t="str">
        <f ca="1">IFERROR(__xludf.DUMMYFUNCTION("""COMPUTED_VALUE"""),"")</f>
        <v/>
      </c>
      <c r="S19" s="155" t="str">
        <f ca="1">IFERROR(__xludf.DUMMYFUNCTION("""COMPUTED_VALUE"""),"")</f>
        <v/>
      </c>
      <c r="T19" s="156" t="str">
        <f ca="1">IFERROR(__xludf.DUMMYFUNCTION("unique('2-M'!M52:U54)"),"")</f>
        <v/>
      </c>
      <c r="U19" s="83" t="str">
        <f ca="1">IFERROR(__xludf.DUMMYFUNCTION("""COMPUTED_VALUE"""),"")</f>
        <v/>
      </c>
      <c r="V19" s="155" t="str">
        <f ca="1">IFERROR(__xludf.DUMMYFUNCTION("""COMPUTED_VALUE"""),"")</f>
        <v/>
      </c>
      <c r="W19" s="76" t="str">
        <f ca="1">IFERROR(__xludf.DUMMYFUNCTION("""COMPUTED_VALUE"""),"")</f>
        <v/>
      </c>
      <c r="X19" s="76" t="str">
        <f ca="1">IFERROR(__xludf.DUMMYFUNCTION("""COMPUTED_VALUE"""),"")</f>
        <v/>
      </c>
      <c r="Y19" s="76" t="str">
        <f ca="1">IFERROR(__xludf.DUMMYFUNCTION("""COMPUTED_VALUE"""),"")</f>
        <v/>
      </c>
      <c r="Z19" s="76" t="str">
        <f ca="1">IFERROR(__xludf.DUMMYFUNCTION("""COMPUTED_VALUE"""),"")</f>
        <v/>
      </c>
      <c r="AA19" s="157" t="str">
        <f ca="1">IFERROR(__xludf.DUMMYFUNCTION("""COMPUTED_VALUE"""),"")</f>
        <v/>
      </c>
      <c r="AB19" s="155" t="str">
        <f ca="1">IFERROR(__xludf.DUMMYFUNCTION("""COMPUTED_VALUE"""),"")</f>
        <v/>
      </c>
      <c r="AC19" s="156" t="str">
        <f ca="1">IFERROR(__xludf.DUMMYFUNCTION("unique('3-M'!M64:U65)"),"")</f>
        <v/>
      </c>
      <c r="AD19" s="83" t="str">
        <f ca="1">IFERROR(__xludf.DUMMYFUNCTION("""COMPUTED_VALUE"""),"")</f>
        <v/>
      </c>
      <c r="AE19" s="155" t="str">
        <f ca="1">IFERROR(__xludf.DUMMYFUNCTION("""COMPUTED_VALUE"""),"")</f>
        <v/>
      </c>
      <c r="AF19" s="76" t="str">
        <f ca="1">IFERROR(__xludf.DUMMYFUNCTION("""COMPUTED_VALUE"""),"")</f>
        <v/>
      </c>
      <c r="AG19" s="76" t="str">
        <f ca="1">IFERROR(__xludf.DUMMYFUNCTION("""COMPUTED_VALUE"""),"")</f>
        <v/>
      </c>
      <c r="AH19" s="76" t="str">
        <f ca="1">IFERROR(__xludf.DUMMYFUNCTION("""COMPUTED_VALUE"""),"")</f>
        <v/>
      </c>
      <c r="AI19" s="76" t="str">
        <f ca="1">IFERROR(__xludf.DUMMYFUNCTION("""COMPUTED_VALUE"""),"")</f>
        <v/>
      </c>
      <c r="AJ19" s="83" t="str">
        <f ca="1">IFERROR(__xludf.DUMMYFUNCTION("""COMPUTED_VALUE"""),"")</f>
        <v/>
      </c>
      <c r="AK19" s="155" t="str">
        <f ca="1">IFERROR(__xludf.DUMMYFUNCTION("""COMPUTED_VALUE"""),"")</f>
        <v/>
      </c>
      <c r="AL19" s="156" t="str">
        <f ca="1">IFERROR(__xludf.DUMMYFUNCTION("unique('4-M'!M58:U60)"),"")</f>
        <v/>
      </c>
      <c r="AM19" s="83" t="str">
        <f ca="1">IFERROR(__xludf.DUMMYFUNCTION("""COMPUTED_VALUE"""),"")</f>
        <v/>
      </c>
      <c r="AN19" s="155" t="str">
        <f ca="1">IFERROR(__xludf.DUMMYFUNCTION("""COMPUTED_VALUE"""),"")</f>
        <v/>
      </c>
      <c r="AO19" s="76" t="str">
        <f ca="1">IFERROR(__xludf.DUMMYFUNCTION("""COMPUTED_VALUE"""),"")</f>
        <v/>
      </c>
      <c r="AP19" s="76" t="str">
        <f ca="1">IFERROR(__xludf.DUMMYFUNCTION("""COMPUTED_VALUE"""),"")</f>
        <v/>
      </c>
      <c r="AQ19" s="76" t="str">
        <f ca="1">IFERROR(__xludf.DUMMYFUNCTION("""COMPUTED_VALUE"""),"")</f>
        <v/>
      </c>
      <c r="AR19" s="76" t="str">
        <f ca="1">IFERROR(__xludf.DUMMYFUNCTION("""COMPUTED_VALUE"""),"")</f>
        <v/>
      </c>
      <c r="AS19" s="83" t="str">
        <f ca="1">IFERROR(__xludf.DUMMYFUNCTION("""COMPUTED_VALUE"""),"")</f>
        <v/>
      </c>
      <c r="AT19" s="155" t="str">
        <f ca="1">IFERROR(__xludf.DUMMYFUNCTION("""COMPUTED_VALUE"""),"")</f>
        <v/>
      </c>
      <c r="AU19" s="156">
        <f ca="1">IFERROR(__xludf.DUMMYFUNCTION("unique('5-M'!M60:U63)"),3)</f>
        <v>3</v>
      </c>
      <c r="AV19" s="83" t="str">
        <f ca="1">IFERROR(__xludf.DUMMYFUNCTION("""COMPUTED_VALUE"""),"5.G.A.1")</f>
        <v>5.G.A.1</v>
      </c>
      <c r="AW19" s="155" t="str">
        <f ca="1">IFERROR(__xludf.DUMMYFUNCTION("""COMPUTED_VALUE"""),"Use a pair of perpendicular number lines, called axes, to define a coordinate system, with the intersection of the lines (the origin) arranged to coincide with the 0 on each line and a given point in the plane located by using an ordered pair of numbers, "&amp;"called its coordinates. Understand that the first number indicates how far to travel from the origin in the direction of one axis, and the second number indicates how far to travel in the direction of the second axis, with the convention that the names of"&amp;" the two axes and the coordinates correspond (e.g., x-axis and x-coordinate, y-axis and y-coordinate).")</f>
        <v>Use a pair of perpendicular number lines, called axes, to define a coordinate system, with the intersection of the lines (the origin) arranged to coincide with the 0 on each line and a given point in the plane located by using an ordered pair of numbers, called its coordinates. Understand that the first number indicates how far to travel from the origin in the direction of one axis, and the second number indicates how far to travel in the direction of the second axis, with the convention that the names of the two axes and the coordinates correspond (e.g., x-axis and x-coordinate, y-axis and y-coordinate).</v>
      </c>
      <c r="AX19" s="76" t="b">
        <f ca="1">IFERROR(__xludf.DUMMYFUNCTION("""COMPUTED_VALUE"""),TRUE)</f>
        <v>1</v>
      </c>
      <c r="AY19" s="76" t="b">
        <f ca="1">IFERROR(__xludf.DUMMYFUNCTION("""COMPUTED_VALUE"""),TRUE)</f>
        <v>1</v>
      </c>
      <c r="AZ19" s="76" t="b">
        <f ca="1">IFERROR(__xludf.DUMMYFUNCTION("""COMPUTED_VALUE"""),TRUE)</f>
        <v>1</v>
      </c>
      <c r="BA19" s="76" t="b">
        <f ca="1">IFERROR(__xludf.DUMMYFUNCTION("""COMPUTED_VALUE"""),FALSE)</f>
        <v>0</v>
      </c>
      <c r="BB19" s="83"/>
      <c r="BC19" s="155" t="str">
        <f ca="1">IFERROR(__xludf.DUMMYFUNCTION("""COMPUTED_VALUE"""),"R- This standard is the basics of graphing points on a graph.
E- It will prepare students for work they will do in higher grades for x-and y-axis and quadrant work. 
A-Act Aspire and MAP")</f>
        <v>R- This standard is the basics of graphing points on a graph.
E- It will prepare students for work they will do in higher grades for x-and y-axis and quadrant work. 
A-Act Aspire and MAP</v>
      </c>
      <c r="BD19" s="155"/>
    </row>
    <row r="20" spans="1:56" ht="115">
      <c r="A20" s="253"/>
      <c r="B20" s="88"/>
      <c r="C20" s="83"/>
      <c r="D20" s="155"/>
      <c r="E20" s="76"/>
      <c r="F20" s="76"/>
      <c r="G20" s="76"/>
      <c r="H20" s="76"/>
      <c r="I20" s="83"/>
      <c r="J20" s="155"/>
      <c r="K20" s="88"/>
      <c r="L20" s="83"/>
      <c r="M20" s="155"/>
      <c r="N20" s="76"/>
      <c r="O20" s="76"/>
      <c r="P20" s="76"/>
      <c r="Q20" s="76"/>
      <c r="R20" s="83"/>
      <c r="S20" s="155"/>
      <c r="T20" s="156">
        <f ca="1">IFERROR(__xludf.DUMMYFUNCTION("""COMPUTED_VALUE"""),4)</f>
        <v>4</v>
      </c>
      <c r="U20" s="83" t="str">
        <f ca="1">IFERROR(__xludf.DUMMYFUNCTION("""COMPUTED_VALUE"""),"2.G.A.3")</f>
        <v>2.G.A.3</v>
      </c>
      <c r="V20" s="155" t="str">
        <f ca="1">IFERROR(__xludf.DUMMYFUNCTION("""COMPUTED_VALUE"""),"Partition circles and rectangles into two, three, or four equal shares, describe the shares using the words halves, thirds, half of, a third of, etc., and describe the whole as two halves, three thirds, four fourths. Recognize that equal shares of identic"&amp;"al wholes need not have the same shape.")</f>
        <v>Partition circles and rectangles into two, three, or four equal shares, describe the shares using the words halves, thirds, half of, a third of, etc., and describe the whole as two halves, three thirds, four fourths. Recognize that equal shares of identical wholes need not have the same shape.</v>
      </c>
      <c r="W20" s="76" t="b">
        <f ca="1">IFERROR(__xludf.DUMMYFUNCTION("""COMPUTED_VALUE"""),TRUE)</f>
        <v>1</v>
      </c>
      <c r="X20" s="76" t="b">
        <f ca="1">IFERROR(__xludf.DUMMYFUNCTION("""COMPUTED_VALUE"""),TRUE)</f>
        <v>1</v>
      </c>
      <c r="Y20" s="76" t="b">
        <f ca="1">IFERROR(__xludf.DUMMYFUNCTION("""COMPUTED_VALUE"""),TRUE)</f>
        <v>1</v>
      </c>
      <c r="Z20" s="76" t="b">
        <f ca="1">IFERROR(__xludf.DUMMYFUNCTION("""COMPUTED_VALUE"""),TRUE)</f>
        <v>1</v>
      </c>
      <c r="AA20" s="157"/>
      <c r="AB20" s="155" t="str">
        <f ca="1">IFERROR(__xludf.DUMMYFUNCTION("""COMPUTED_VALUE"""),"R - continued exposure as needed to continuing progression. A - MAP")</f>
        <v>R - continued exposure as needed to continuing progression. A - MAP</v>
      </c>
      <c r="AC20" s="156">
        <f ca="1">IFERROR(__xludf.DUMMYFUNCTION("""COMPUTED_VALUE"""),4)</f>
        <v>4</v>
      </c>
      <c r="AD20" s="83" t="str">
        <f ca="1">IFERROR(__xludf.DUMMYFUNCTION("""COMPUTED_VALUE"""),"3.G.A.2")</f>
        <v>3.G.A.2</v>
      </c>
      <c r="AE20" s="155" t="str">
        <f ca="1">IFERROR(__xludf.DUMMYFUNCTION("""COMPUTED_VALUE"""),"Partition shapes into parts with equal areas. Express the area of each part as a unit fraction of the whole. For example, partition a shape into 4 parts with equal area, and describe the area of each part as 1/4 of the area of the shape.")</f>
        <v>Partition shapes into parts with equal areas. Express the area of each part as a unit fraction of the whole. For example, partition a shape into 4 parts with equal area, and describe the area of each part as 1/4 of the area of the shape.</v>
      </c>
      <c r="AF20" s="76" t="b">
        <f ca="1">IFERROR(__xludf.DUMMYFUNCTION("""COMPUTED_VALUE"""),TRUE)</f>
        <v>1</v>
      </c>
      <c r="AG20" s="76" t="b">
        <f ca="1">IFERROR(__xludf.DUMMYFUNCTION("""COMPUTED_VALUE"""),TRUE)</f>
        <v>1</v>
      </c>
      <c r="AH20" s="76" t="b">
        <f ca="1">IFERROR(__xludf.DUMMYFUNCTION("""COMPUTED_VALUE"""),TRUE)</f>
        <v>1</v>
      </c>
      <c r="AI20" s="76" t="b">
        <f ca="1">IFERROR(__xludf.DUMMYFUNCTION("""COMPUTED_VALUE"""),TRUE)</f>
        <v>1</v>
      </c>
      <c r="AJ20" s="83"/>
      <c r="AK20" s="155" t="str">
        <f ca="1">IFERROR(__xludf.DUMMYFUNCTION("""COMPUTED_VALUE"""),"R-Helps build base knowledge for fraction concepts for upper grades.A- ACT Aspire, MAP, E- fractional understanding, L- science extension")</f>
        <v>R-Helps build base knowledge for fraction concepts for upper grades.A- ACT Aspire, MAP, E- fractional understanding, L- science extension</v>
      </c>
      <c r="AL20" s="156"/>
      <c r="AM20" s="83"/>
      <c r="AN20" s="155"/>
      <c r="AO20" s="76"/>
      <c r="AP20" s="76"/>
      <c r="AQ20" s="76"/>
      <c r="AR20" s="76"/>
      <c r="AS20" s="83"/>
      <c r="AT20" s="155"/>
      <c r="AU20" s="156" t="str">
        <f ca="1">IFERROR(__xludf.DUMMYFUNCTION("""COMPUTED_VALUE"""),"")</f>
        <v/>
      </c>
      <c r="AV20" s="83" t="str">
        <f ca="1">IFERROR(__xludf.DUMMYFUNCTION("""COMPUTED_VALUE"""),"")</f>
        <v/>
      </c>
      <c r="AW20" s="155" t="str">
        <f ca="1">IFERROR(__xludf.DUMMYFUNCTION("""COMPUTED_VALUE"""),"")</f>
        <v/>
      </c>
      <c r="AX20" s="76" t="str">
        <f ca="1">IFERROR(__xludf.DUMMYFUNCTION("""COMPUTED_VALUE"""),"")</f>
        <v/>
      </c>
      <c r="AY20" s="76" t="str">
        <f ca="1">IFERROR(__xludf.DUMMYFUNCTION("""COMPUTED_VALUE"""),"")</f>
        <v/>
      </c>
      <c r="AZ20" s="76" t="str">
        <f ca="1">IFERROR(__xludf.DUMMYFUNCTION("""COMPUTED_VALUE"""),"")</f>
        <v/>
      </c>
      <c r="BA20" s="76" t="str">
        <f ca="1">IFERROR(__xludf.DUMMYFUNCTION("""COMPUTED_VALUE"""),"")</f>
        <v/>
      </c>
      <c r="BB20" s="83" t="str">
        <f ca="1">IFERROR(__xludf.DUMMYFUNCTION("""COMPUTED_VALUE"""),"")</f>
        <v/>
      </c>
      <c r="BC20" s="155" t="str">
        <f ca="1">IFERROR(__xludf.DUMMYFUNCTION("""COMPUTED_VALUE"""),"")</f>
        <v/>
      </c>
      <c r="BD20" s="155"/>
    </row>
    <row r="21" spans="1:56" ht="13">
      <c r="A21" s="253"/>
      <c r="B21" s="88"/>
      <c r="C21" s="83"/>
      <c r="D21" s="155"/>
      <c r="E21" s="76"/>
      <c r="F21" s="76"/>
      <c r="G21" s="76"/>
      <c r="H21" s="76"/>
      <c r="I21" s="83"/>
      <c r="J21" s="155"/>
      <c r="K21" s="88"/>
      <c r="L21" s="83"/>
      <c r="M21" s="155"/>
      <c r="N21" s="76"/>
      <c r="O21" s="76"/>
      <c r="P21" s="76"/>
      <c r="Q21" s="76"/>
      <c r="R21" s="83"/>
      <c r="S21" s="155"/>
      <c r="T21" s="156"/>
      <c r="U21" s="83"/>
      <c r="V21" s="155"/>
      <c r="W21" s="76"/>
      <c r="X21" s="76"/>
      <c r="Y21" s="76"/>
      <c r="Z21" s="76"/>
      <c r="AA21" s="157"/>
      <c r="AB21" s="155"/>
      <c r="AC21" s="156"/>
      <c r="AD21" s="83"/>
      <c r="AE21" s="155"/>
      <c r="AF21" s="76"/>
      <c r="AG21" s="76"/>
      <c r="AH21" s="76"/>
      <c r="AI21" s="76"/>
      <c r="AJ21" s="83"/>
      <c r="AK21" s="155"/>
      <c r="AL21" s="156"/>
      <c r="AM21" s="83"/>
      <c r="AN21" s="155"/>
      <c r="AO21" s="76"/>
      <c r="AP21" s="76"/>
      <c r="AQ21" s="76"/>
      <c r="AR21" s="76"/>
      <c r="AS21" s="83"/>
      <c r="AT21" s="155"/>
      <c r="AU21" s="156"/>
      <c r="AV21" s="83"/>
      <c r="AW21" s="155"/>
      <c r="AX21" s="76"/>
      <c r="AY21" s="76"/>
      <c r="AZ21" s="76"/>
      <c r="BA21" s="76"/>
      <c r="BB21" s="83"/>
      <c r="BC21" s="155"/>
      <c r="BD21" s="155"/>
    </row>
    <row r="22" spans="1:56" ht="13">
      <c r="A22" s="253"/>
      <c r="B22" s="88"/>
      <c r="C22" s="83"/>
      <c r="D22" s="155"/>
      <c r="E22" s="76"/>
      <c r="F22" s="76"/>
      <c r="G22" s="76"/>
      <c r="H22" s="76"/>
      <c r="I22" s="83"/>
      <c r="J22" s="155"/>
      <c r="K22" s="88"/>
      <c r="L22" s="83"/>
      <c r="M22" s="155"/>
      <c r="N22" s="76"/>
      <c r="O22" s="76"/>
      <c r="P22" s="76"/>
      <c r="Q22" s="76"/>
      <c r="R22" s="83"/>
      <c r="S22" s="155"/>
      <c r="T22" s="156"/>
      <c r="U22" s="83"/>
      <c r="V22" s="155"/>
      <c r="W22" s="76"/>
      <c r="X22" s="76"/>
      <c r="Y22" s="76"/>
      <c r="Z22" s="76"/>
      <c r="AA22" s="157"/>
      <c r="AB22" s="155"/>
      <c r="AC22" s="156"/>
      <c r="AD22" s="83"/>
      <c r="AE22" s="155"/>
      <c r="AF22" s="76"/>
      <c r="AG22" s="76"/>
      <c r="AH22" s="76"/>
      <c r="AI22" s="76"/>
      <c r="AJ22" s="83"/>
      <c r="AK22" s="155"/>
      <c r="AL22" s="156"/>
      <c r="AM22" s="83"/>
      <c r="AN22" s="155"/>
      <c r="AO22" s="76"/>
      <c r="AP22" s="76"/>
      <c r="AQ22" s="76"/>
      <c r="AR22" s="76"/>
      <c r="AS22" s="83"/>
      <c r="AT22" s="155"/>
      <c r="AU22" s="156"/>
      <c r="AV22" s="83"/>
      <c r="AW22" s="155"/>
      <c r="AX22" s="76"/>
      <c r="AY22" s="76"/>
      <c r="AZ22" s="76"/>
      <c r="BA22" s="76"/>
      <c r="BB22" s="83"/>
      <c r="BC22" s="155"/>
      <c r="BD22" s="155"/>
    </row>
    <row r="23" spans="1:56" ht="13">
      <c r="A23" s="253"/>
      <c r="B23" s="88"/>
      <c r="C23" s="83"/>
      <c r="D23" s="155"/>
      <c r="E23" s="76"/>
      <c r="F23" s="76"/>
      <c r="G23" s="76"/>
      <c r="H23" s="76"/>
      <c r="I23" s="83"/>
      <c r="J23" s="155"/>
      <c r="K23" s="88"/>
      <c r="L23" s="83"/>
      <c r="M23" s="155"/>
      <c r="N23" s="76"/>
      <c r="O23" s="76"/>
      <c r="P23" s="76"/>
      <c r="Q23" s="76"/>
      <c r="R23" s="83"/>
      <c r="S23" s="155"/>
      <c r="T23" s="156"/>
      <c r="U23" s="83"/>
      <c r="V23" s="155"/>
      <c r="W23" s="76"/>
      <c r="X23" s="76"/>
      <c r="Y23" s="76"/>
      <c r="Z23" s="76"/>
      <c r="AA23" s="157"/>
      <c r="AB23" s="155"/>
      <c r="AC23" s="156"/>
      <c r="AD23" s="83"/>
      <c r="AE23" s="155"/>
      <c r="AF23" s="76"/>
      <c r="AG23" s="76"/>
      <c r="AH23" s="76"/>
      <c r="AI23" s="76"/>
      <c r="AJ23" s="83"/>
      <c r="AK23" s="155"/>
      <c r="AL23" s="156"/>
      <c r="AM23" s="83"/>
      <c r="AN23" s="155"/>
      <c r="AO23" s="76"/>
      <c r="AP23" s="76"/>
      <c r="AQ23" s="76"/>
      <c r="AR23" s="76"/>
      <c r="AS23" s="83"/>
      <c r="AT23" s="155"/>
      <c r="AU23" s="156"/>
      <c r="AV23" s="83"/>
      <c r="AW23" s="155"/>
      <c r="AX23" s="76"/>
      <c r="AY23" s="76"/>
      <c r="AZ23" s="76"/>
      <c r="BA23" s="76"/>
      <c r="BB23" s="83"/>
      <c r="BC23" s="155"/>
      <c r="BD23" s="155"/>
    </row>
    <row r="24" spans="1:56" ht="13">
      <c r="A24" s="255"/>
      <c r="B24" s="88"/>
      <c r="C24" s="83"/>
      <c r="D24" s="155"/>
      <c r="E24" s="76"/>
      <c r="F24" s="76"/>
      <c r="G24" s="76"/>
      <c r="H24" s="76"/>
      <c r="I24" s="83"/>
      <c r="J24" s="155"/>
      <c r="K24" s="88"/>
      <c r="L24" s="83"/>
      <c r="M24" s="155"/>
      <c r="N24" s="76"/>
      <c r="O24" s="76"/>
      <c r="P24" s="76"/>
      <c r="Q24" s="76"/>
      <c r="R24" s="83"/>
      <c r="S24" s="155"/>
      <c r="T24" s="156"/>
      <c r="U24" s="83"/>
      <c r="V24" s="155"/>
      <c r="W24" s="76"/>
      <c r="X24" s="76"/>
      <c r="Y24" s="76"/>
      <c r="Z24" s="76"/>
      <c r="AA24" s="157"/>
      <c r="AB24" s="155"/>
      <c r="AC24" s="156"/>
      <c r="AD24" s="83"/>
      <c r="AE24" s="155"/>
      <c r="AF24" s="76"/>
      <c r="AG24" s="76"/>
      <c r="AH24" s="76"/>
      <c r="AI24" s="76"/>
      <c r="AJ24" s="83"/>
      <c r="AK24" s="155"/>
      <c r="AL24" s="156"/>
      <c r="AM24" s="83"/>
      <c r="AN24" s="155"/>
      <c r="AO24" s="76"/>
      <c r="AP24" s="76"/>
      <c r="AQ24" s="76"/>
      <c r="AR24" s="76"/>
      <c r="AS24" s="83"/>
      <c r="AT24" s="155"/>
      <c r="AU24" s="156"/>
      <c r="AV24" s="83"/>
      <c r="AW24" s="155"/>
      <c r="AX24" s="76"/>
      <c r="AY24" s="76"/>
      <c r="AZ24" s="76"/>
      <c r="BA24" s="76"/>
      <c r="BB24" s="83"/>
      <c r="BC24" s="155"/>
      <c r="BD24" s="155"/>
    </row>
    <row r="25" spans="1:56" ht="3.75" customHeight="1">
      <c r="A25" s="158"/>
      <c r="B25" s="158"/>
      <c r="C25" s="158"/>
      <c r="D25" s="158"/>
      <c r="E25" s="158"/>
      <c r="F25" s="158"/>
      <c r="G25" s="158"/>
      <c r="H25" s="158"/>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8"/>
      <c r="AG25" s="158"/>
      <c r="AH25" s="158"/>
      <c r="AI25" s="158"/>
      <c r="AJ25" s="158"/>
      <c r="AK25" s="158"/>
      <c r="AL25" s="158"/>
      <c r="AM25" s="158"/>
      <c r="AN25" s="158"/>
      <c r="AO25" s="158"/>
      <c r="AP25" s="158"/>
      <c r="AQ25" s="158"/>
      <c r="AR25" s="158"/>
      <c r="AS25" s="158"/>
      <c r="AT25" s="158"/>
      <c r="AU25" s="158"/>
      <c r="AV25" s="158"/>
      <c r="AW25" s="158"/>
      <c r="AX25" s="158"/>
      <c r="AY25" s="158"/>
      <c r="AZ25" s="158"/>
      <c r="BA25" s="158"/>
      <c r="BB25" s="158"/>
      <c r="BC25" s="158"/>
      <c r="BD25" s="159"/>
    </row>
    <row r="26" spans="1:56" ht="13">
      <c r="A26" s="256" t="s">
        <v>57</v>
      </c>
      <c r="B26" s="88" t="str">
        <f ca="1">IFERROR(__xludf.DUMMYFUNCTION("unique('K-M'!M48:U50)"),"")</f>
        <v/>
      </c>
      <c r="C26" s="83" t="str">
        <f ca="1">IFERROR(__xludf.DUMMYFUNCTION("""COMPUTED_VALUE"""),"")</f>
        <v/>
      </c>
      <c r="D26" s="155" t="str">
        <f ca="1">IFERROR(__xludf.DUMMYFUNCTION("""COMPUTED_VALUE"""),"")</f>
        <v/>
      </c>
      <c r="E26" s="76" t="str">
        <f ca="1">IFERROR(__xludf.DUMMYFUNCTION("""COMPUTED_VALUE"""),"")</f>
        <v/>
      </c>
      <c r="F26" s="76" t="str">
        <f ca="1">IFERROR(__xludf.DUMMYFUNCTION("""COMPUTED_VALUE"""),"")</f>
        <v/>
      </c>
      <c r="G26" s="76" t="str">
        <f ca="1">IFERROR(__xludf.DUMMYFUNCTION("""COMPUTED_VALUE"""),"")</f>
        <v/>
      </c>
      <c r="H26" s="76" t="str">
        <f ca="1">IFERROR(__xludf.DUMMYFUNCTION("""COMPUTED_VALUE"""),"")</f>
        <v/>
      </c>
      <c r="I26" s="83" t="str">
        <f ca="1">IFERROR(__xludf.DUMMYFUNCTION("""COMPUTED_VALUE"""),"")</f>
        <v/>
      </c>
      <c r="J26" s="155" t="str">
        <f ca="1">IFERROR(__xludf.DUMMYFUNCTION("""COMPUTED_VALUE"""),"")</f>
        <v/>
      </c>
      <c r="K26" s="88" t="str">
        <f ca="1">IFERROR(__xludf.DUMMYFUNCTION("unique('1-M'!M52:U56)"),"")</f>
        <v/>
      </c>
      <c r="L26" s="83" t="str">
        <f ca="1">IFERROR(__xludf.DUMMYFUNCTION("""COMPUTED_VALUE"""),"")</f>
        <v/>
      </c>
      <c r="M26" s="155" t="str">
        <f ca="1">IFERROR(__xludf.DUMMYFUNCTION("""COMPUTED_VALUE"""),"")</f>
        <v/>
      </c>
      <c r="N26" s="76" t="str">
        <f ca="1">IFERROR(__xludf.DUMMYFUNCTION("""COMPUTED_VALUE"""),"")</f>
        <v/>
      </c>
      <c r="O26" s="76" t="str">
        <f ca="1">IFERROR(__xludf.DUMMYFUNCTION("""COMPUTED_VALUE"""),"")</f>
        <v/>
      </c>
      <c r="P26" s="76" t="str">
        <f ca="1">IFERROR(__xludf.DUMMYFUNCTION("""COMPUTED_VALUE"""),"")</f>
        <v/>
      </c>
      <c r="Q26" s="76" t="str">
        <f ca="1">IFERROR(__xludf.DUMMYFUNCTION("""COMPUTED_VALUE"""),"")</f>
        <v/>
      </c>
      <c r="R26" s="83" t="str">
        <f ca="1">IFERROR(__xludf.DUMMYFUNCTION("""COMPUTED_VALUE"""),"")</f>
        <v/>
      </c>
      <c r="S26" s="155" t="str">
        <f ca="1">IFERROR(__xludf.DUMMYFUNCTION("""COMPUTED_VALUE"""),"")</f>
        <v/>
      </c>
      <c r="T26" s="156" t="str">
        <f ca="1">IFERROR(__xludf.DUMMYFUNCTION("unique('2-M'!M55:U666)"),"")</f>
        <v/>
      </c>
      <c r="U26" s="83" t="str">
        <f ca="1">IFERROR(__xludf.DUMMYFUNCTION("""COMPUTED_VALUE"""),"")</f>
        <v/>
      </c>
      <c r="V26" s="155" t="str">
        <f ca="1">IFERROR(__xludf.DUMMYFUNCTION("""COMPUTED_VALUE"""),"")</f>
        <v/>
      </c>
      <c r="W26" s="76" t="str">
        <f ca="1">IFERROR(__xludf.DUMMYFUNCTION("""COMPUTED_VALUE"""),"")</f>
        <v/>
      </c>
      <c r="X26" s="76" t="str">
        <f ca="1">IFERROR(__xludf.DUMMYFUNCTION("""COMPUTED_VALUE"""),"")</f>
        <v/>
      </c>
      <c r="Y26" s="76" t="str">
        <f ca="1">IFERROR(__xludf.DUMMYFUNCTION("""COMPUTED_VALUE"""),"")</f>
        <v/>
      </c>
      <c r="Z26" s="76" t="str">
        <f ca="1">IFERROR(__xludf.DUMMYFUNCTION("""COMPUTED_VALUE"""),"")</f>
        <v/>
      </c>
      <c r="AA26" s="157" t="str">
        <f ca="1">IFERROR(__xludf.DUMMYFUNCTION("""COMPUTED_VALUE"""),"")</f>
        <v/>
      </c>
      <c r="AB26" s="155" t="str">
        <f ca="1">IFERROR(__xludf.DUMMYFUNCTION("""COMPUTED_VALUE"""),"")</f>
        <v/>
      </c>
      <c r="AC26" s="156" t="str">
        <f ca="1">IFERROR(__xludf.DUMMYFUNCTION("unique('3-M'!M66:U79)"),"")</f>
        <v/>
      </c>
      <c r="AD26" s="83" t="str">
        <f ca="1">IFERROR(__xludf.DUMMYFUNCTION("""COMPUTED_VALUE"""),"")</f>
        <v/>
      </c>
      <c r="AE26" s="155" t="str">
        <f ca="1">IFERROR(__xludf.DUMMYFUNCTION("""COMPUTED_VALUE"""),"")</f>
        <v/>
      </c>
      <c r="AF26" s="76" t="str">
        <f ca="1">IFERROR(__xludf.DUMMYFUNCTION("""COMPUTED_VALUE"""),"")</f>
        <v/>
      </c>
      <c r="AG26" s="76" t="str">
        <f ca="1">IFERROR(__xludf.DUMMYFUNCTION("""COMPUTED_VALUE"""),"")</f>
        <v/>
      </c>
      <c r="AH26" s="76" t="str">
        <f ca="1">IFERROR(__xludf.DUMMYFUNCTION("""COMPUTED_VALUE"""),"")</f>
        <v/>
      </c>
      <c r="AI26" s="76" t="str">
        <f ca="1">IFERROR(__xludf.DUMMYFUNCTION("""COMPUTED_VALUE"""),"")</f>
        <v/>
      </c>
      <c r="AJ26" s="83" t="str">
        <f ca="1">IFERROR(__xludf.DUMMYFUNCTION("""COMPUTED_VALUE"""),"")</f>
        <v/>
      </c>
      <c r="AK26" s="155" t="str">
        <f ca="1">IFERROR(__xludf.DUMMYFUNCTION("""COMPUTED_VALUE"""),"")</f>
        <v/>
      </c>
      <c r="AL26" s="156" t="str">
        <f ca="1">IFERROR(__xludf.DUMMYFUNCTION("unique('4-M'!M61:U69)"),"")</f>
        <v/>
      </c>
      <c r="AM26" s="83" t="str">
        <f ca="1">IFERROR(__xludf.DUMMYFUNCTION("""COMPUTED_VALUE"""),"")</f>
        <v/>
      </c>
      <c r="AN26" s="155" t="str">
        <f ca="1">IFERROR(__xludf.DUMMYFUNCTION("""COMPUTED_VALUE"""),"")</f>
        <v/>
      </c>
      <c r="AO26" s="76" t="str">
        <f ca="1">IFERROR(__xludf.DUMMYFUNCTION("""COMPUTED_VALUE"""),"")</f>
        <v/>
      </c>
      <c r="AP26" s="76" t="str">
        <f ca="1">IFERROR(__xludf.DUMMYFUNCTION("""COMPUTED_VALUE"""),"")</f>
        <v/>
      </c>
      <c r="AQ26" s="76" t="str">
        <f ca="1">IFERROR(__xludf.DUMMYFUNCTION("""COMPUTED_VALUE"""),"")</f>
        <v/>
      </c>
      <c r="AR26" s="76" t="str">
        <f ca="1">IFERROR(__xludf.DUMMYFUNCTION("""COMPUTED_VALUE"""),"")</f>
        <v/>
      </c>
      <c r="AS26" s="83" t="str">
        <f ca="1">IFERROR(__xludf.DUMMYFUNCTION("""COMPUTED_VALUE"""),"")</f>
        <v/>
      </c>
      <c r="AT26" s="155" t="str">
        <f ca="1">IFERROR(__xludf.DUMMYFUNCTION("""COMPUTED_VALUE"""),"")</f>
        <v/>
      </c>
      <c r="AU26" s="156" t="str">
        <f ca="1">IFERROR(__xludf.DUMMYFUNCTION("unique('5-M'!M64:U73)"),"")</f>
        <v/>
      </c>
      <c r="AV26" s="83" t="str">
        <f ca="1">IFERROR(__xludf.DUMMYFUNCTION("""COMPUTED_VALUE"""),"")</f>
        <v/>
      </c>
      <c r="AW26" s="155" t="str">
        <f ca="1">IFERROR(__xludf.DUMMYFUNCTION("""COMPUTED_VALUE"""),"")</f>
        <v/>
      </c>
      <c r="AX26" s="76" t="str">
        <f ca="1">IFERROR(__xludf.DUMMYFUNCTION("""COMPUTED_VALUE"""),"")</f>
        <v/>
      </c>
      <c r="AY26" s="76" t="str">
        <f ca="1">IFERROR(__xludf.DUMMYFUNCTION("""COMPUTED_VALUE"""),"")</f>
        <v/>
      </c>
      <c r="AZ26" s="76" t="str">
        <f ca="1">IFERROR(__xludf.DUMMYFUNCTION("""COMPUTED_VALUE"""),"")</f>
        <v/>
      </c>
      <c r="BA26" s="76" t="str">
        <f ca="1">IFERROR(__xludf.DUMMYFUNCTION("""COMPUTED_VALUE"""),"")</f>
        <v/>
      </c>
      <c r="BB26" s="83" t="str">
        <f ca="1">IFERROR(__xludf.DUMMYFUNCTION("""COMPUTED_VALUE"""),"")</f>
        <v/>
      </c>
      <c r="BC26" s="155" t="str">
        <f ca="1">IFERROR(__xludf.DUMMYFUNCTION("""COMPUTED_VALUE"""),"")</f>
        <v/>
      </c>
      <c r="BD26" s="155"/>
    </row>
    <row r="27" spans="1:56" ht="184">
      <c r="A27" s="253"/>
      <c r="B27" s="88"/>
      <c r="C27" s="83"/>
      <c r="D27" s="155"/>
      <c r="E27" s="76"/>
      <c r="F27" s="76"/>
      <c r="G27" s="76"/>
      <c r="H27" s="76"/>
      <c r="I27" s="83"/>
      <c r="J27" s="155"/>
      <c r="K27" s="88">
        <f ca="1">IFERROR(__xludf.DUMMYFUNCTION("""COMPUTED_VALUE"""),3)</f>
        <v>3</v>
      </c>
      <c r="L27" s="83" t="str">
        <f ca="1">IFERROR(__xludf.DUMMYFUNCTION("""COMPUTED_VALUE"""),"1.MD.A.2")</f>
        <v>1.MD.A.2</v>
      </c>
      <c r="M27" s="155" t="str">
        <f ca="1">IFERROR(__xludf.DUMMYFUNCTION("""COMPUTED_VALUE"""),"Express the length of an object as a whole number of length units, by laying multiple copies of a shorter object (the length unit) end to end; understand that the length measurement of an object is the number of same-size length units that span it with no"&amp;" gaps or overlaps. Limit to contexts where the object being measured is spanned by a whole number of length units with no gaps or overlaps.")</f>
        <v>Express the length of an object as a whole number of length units, by laying multiple copies of a shorter object (the length unit) end to end; understand that the length measurement of an object is the number of same-size length units that span it with no gaps or overlaps. Limit to contexts where the object being measured is spanned by a whole number of length units with no gaps or overlaps.</v>
      </c>
      <c r="N27" s="76" t="b">
        <f ca="1">IFERROR(__xludf.DUMMYFUNCTION("""COMPUTED_VALUE"""),FALSE)</f>
        <v>0</v>
      </c>
      <c r="O27" s="76" t="b">
        <f ca="1">IFERROR(__xludf.DUMMYFUNCTION("""COMPUTED_VALUE"""),TRUE)</f>
        <v>1</v>
      </c>
      <c r="P27" s="76" t="b">
        <f ca="1">IFERROR(__xludf.DUMMYFUNCTION("""COMPUTED_VALUE"""),TRUE)</f>
        <v>1</v>
      </c>
      <c r="Q27" s="76" t="b">
        <f ca="1">IFERROR(__xludf.DUMMYFUNCTION("""COMPUTED_VALUE"""),TRUE)</f>
        <v>1</v>
      </c>
      <c r="R27" s="83"/>
      <c r="S27" s="155" t="str">
        <f ca="1">IFERROR(__xludf.DUMMYFUNCTION("""COMPUTED_VALUE"""),"R-This is a readiness standard. E-This will be necessary in learning to measure to approximity. A-This is assessed on the MAP test. L-This will be used in the future for social studies and geometry. ")</f>
        <v xml:space="preserve">R-This is a readiness standard. E-This will be necessary in learning to measure to approximity. A-This is assessed on the MAP test. L-This will be used in the future for social studies and geometry. </v>
      </c>
      <c r="T27" s="156">
        <f ca="1">IFERROR(__xludf.DUMMYFUNCTION("""COMPUTED_VALUE"""),3)</f>
        <v>3</v>
      </c>
      <c r="U27" s="83" t="str">
        <f ca="1">IFERROR(__xludf.DUMMYFUNCTION("""COMPUTED_VALUE"""),"2.MD.C.7")</f>
        <v>2.MD.C.7</v>
      </c>
      <c r="V27" s="155" t="str">
        <f ca="1">IFERROR(__xludf.DUMMYFUNCTION("""COMPUTED_VALUE"""),"Tell and write time from analog and digital clocks to the nearest five minutes, using a.m. and p.m.")</f>
        <v>Tell and write time from analog and digital clocks to the nearest five minutes, using a.m. and p.m.</v>
      </c>
      <c r="W27" s="76" t="b">
        <f ca="1">IFERROR(__xludf.DUMMYFUNCTION("""COMPUTED_VALUE"""),TRUE)</f>
        <v>1</v>
      </c>
      <c r="X27" s="76" t="b">
        <f ca="1">IFERROR(__xludf.DUMMYFUNCTION("""COMPUTED_VALUE"""),TRUE)</f>
        <v>1</v>
      </c>
      <c r="Y27" s="76" t="b">
        <f ca="1">IFERROR(__xludf.DUMMYFUNCTION("""COMPUTED_VALUE"""),TRUE)</f>
        <v>1</v>
      </c>
      <c r="Z27" s="76" t="b">
        <f ca="1">IFERROR(__xludf.DUMMYFUNCTION("""COMPUTED_VALUE"""),FALSE)</f>
        <v>0</v>
      </c>
      <c r="AA27" s="157"/>
      <c r="AB27" s="155" t="str">
        <f ca="1">IFERROR(__xludf.DUMMYFUNCTION("""COMPUTED_VALUE"""),"R - foundational skill needed to be able to tell time to nearest minute. E - everyday life skill. A - MAP. L - needed for multi-disciplines in the future")</f>
        <v>R - foundational skill needed to be able to tell time to nearest minute. E - everyday life skill. A - MAP. L - needed for multi-disciplines in the future</v>
      </c>
      <c r="AC27" s="156">
        <f ca="1">IFERROR(__xludf.DUMMYFUNCTION("""COMPUTED_VALUE"""),3)</f>
        <v>3</v>
      </c>
      <c r="AD27" s="83" t="str">
        <f ca="1">IFERROR(__xludf.DUMMYFUNCTION("""COMPUTED_VALUE"""),"3.MD.B.3")</f>
        <v>3.MD.B.3</v>
      </c>
      <c r="AE27" s="155" t="str">
        <f ca="1">IFERROR(__xludf.DUMMYFUNCTION("""COMPUTED_VALUE"""),"Draw a scaled picture graph and a scaled bar graph to represent a data set with several categories. Solve oneand two-step “how many more” and “how many less” problems using information presented in scaled bar graphs. For example, draw a bar graph in which"&amp;" each square in the bar graph might represent 5 pets.")</f>
        <v>Draw a scaled picture graph and a scaled bar graph to represent a data set with several categories. Solve oneand two-step “how many more” and “how many less” problems using information presented in scaled bar graphs. For example, draw a bar graph in which each square in the bar graph might represent 5 pets.</v>
      </c>
      <c r="AF27" s="76" t="b">
        <f ca="1">IFERROR(__xludf.DUMMYFUNCTION("""COMPUTED_VALUE"""),FALSE)</f>
        <v>0</v>
      </c>
      <c r="AG27" s="76" t="b">
        <f ca="1">IFERROR(__xludf.DUMMYFUNCTION("""COMPUTED_VALUE"""),TRUE)</f>
        <v>1</v>
      </c>
      <c r="AH27" s="76" t="b">
        <f ca="1">IFERROR(__xludf.DUMMYFUNCTION("""COMPUTED_VALUE"""),TRUE)</f>
        <v>1</v>
      </c>
      <c r="AI27" s="76" t="b">
        <f ca="1">IFERROR(__xludf.DUMMYFUNCTION("""COMPUTED_VALUE"""),TRUE)</f>
        <v>1</v>
      </c>
      <c r="AJ27" s="83"/>
      <c r="AK27" s="155" t="str">
        <f ca="1">IFERROR(__xludf.DUMMYFUNCTION("""COMPUTED_VALUE"""),"E-Is taught. They have to know how to make and 
read a Picture and bar graph. A-They have to graph
information on the Test. L-they have to read graphs
in Science.")</f>
        <v>E-Is taught. They have to know how to make and 
read a Picture and bar graph. A-They have to graph
information on the Test. L-they have to read graphs
in Science.</v>
      </c>
      <c r="AL27" s="156">
        <f ca="1">IFERROR(__xludf.DUMMYFUNCTION("""COMPUTED_VALUE"""),4)</f>
        <v>4</v>
      </c>
      <c r="AM27" s="83" t="str">
        <f ca="1">IFERROR(__xludf.DUMMYFUNCTION("""COMPUTED_VALUE"""),"4.MD.A.3")</f>
        <v>4.MD.A.3</v>
      </c>
      <c r="AN27" s="155" t="str">
        <f ca="1">IFERROR(__xludf.DUMMYFUNCTION("""COMPUTED_VALUE"""),"Apply the area and perimeter formulas for rectangles in real world and mathematical problems. For example, find the width of a rectangular room given the area of the flooring and the length, by viewing the area formula as a multiplication equation with an"&amp;" unknown factor.")</f>
        <v>Apply the area and perimeter formulas for rectangles in real world and mathematical problems. For example, find the width of a rectangular room given the area of the flooring and the length, by viewing the area formula as a multiplication equation with an unknown factor.</v>
      </c>
      <c r="AO27" s="76" t="b">
        <f ca="1">IFERROR(__xludf.DUMMYFUNCTION("""COMPUTED_VALUE"""),TRUE)</f>
        <v>1</v>
      </c>
      <c r="AP27" s="76" t="b">
        <f ca="1">IFERROR(__xludf.DUMMYFUNCTION("""COMPUTED_VALUE"""),TRUE)</f>
        <v>1</v>
      </c>
      <c r="AQ27" s="76" t="b">
        <f ca="1">IFERROR(__xludf.DUMMYFUNCTION("""COMPUTED_VALUE"""),TRUE)</f>
        <v>1</v>
      </c>
      <c r="AR27" s="76" t="b">
        <f ca="1">IFERROR(__xludf.DUMMYFUNCTION("""COMPUTED_VALUE"""),TRUE)</f>
        <v>1</v>
      </c>
      <c r="AS27" s="83"/>
      <c r="AT27" s="155" t="str">
        <f ca="1">IFERROR(__xludf.DUMMYFUNCTION("""COMPUTED_VALUE"""),"R-In 5th grade, students will need to apply their understanding of perimeter and area in relation to one another and how to solve real world problems, as well as finding volume. 5.MD.C.3
E-This will continue through the next several grade levels in math, "&amp;"as well as in life. 
A-ACT Aspire, MAP, Common assessment
L-connects to many parts of math (volume, area and perimeter of irregular shapes, etc. )")</f>
        <v>R-In 5th grade, students will need to apply their understanding of perimeter and area in relation to one another and how to solve real world problems, as well as finding volume. 5.MD.C.3
E-This will continue through the next several grade levels in math, as well as in life. 
A-ACT Aspire, MAP, Common assessment
L-connects to many parts of math (volume, area and perimeter of irregular shapes, etc. )</v>
      </c>
      <c r="AU27" s="156">
        <f ca="1">IFERROR(__xludf.DUMMYFUNCTION("""COMPUTED_VALUE"""),3)</f>
        <v>3</v>
      </c>
      <c r="AV27" s="83" t="str">
        <f ca="1">IFERROR(__xludf.DUMMYFUNCTION("""COMPUTED_VALUE"""),"5.MD.C.5b")</f>
        <v>5.MD.C.5b</v>
      </c>
      <c r="AW27" s="155" t="str">
        <f ca="1">IFERROR(__xludf.DUMMYFUNCTION("""COMPUTED_VALUE"""),"Apply the formulas V = l × w × h and V = b × h for rectangular prisms to find volumes of right rectangular prisms with whole-number edge lengths in the context of solving real world and mathematical problems.")</f>
        <v>Apply the formulas V = l × w × h and V = b × h for rectangular prisms to find volumes of right rectangular prisms with whole-number edge lengths in the context of solving real world and mathematical problems.</v>
      </c>
      <c r="AX27" s="76" t="b">
        <f ca="1">IFERROR(__xludf.DUMMYFUNCTION("""COMPUTED_VALUE"""),TRUE)</f>
        <v>1</v>
      </c>
      <c r="AY27" s="76" t="b">
        <f ca="1">IFERROR(__xludf.DUMMYFUNCTION("""COMPUTED_VALUE"""),TRUE)</f>
        <v>1</v>
      </c>
      <c r="AZ27" s="76" t="b">
        <f ca="1">IFERROR(__xludf.DUMMYFUNCTION("""COMPUTED_VALUE"""),TRUE)</f>
        <v>1</v>
      </c>
      <c r="BA27" s="76" t="b">
        <f ca="1">IFERROR(__xludf.DUMMYFUNCTION("""COMPUTED_VALUE"""),FALSE)</f>
        <v>0</v>
      </c>
      <c r="BB27" s="83"/>
      <c r="BC27" s="155" t="str">
        <f ca="1">IFERROR(__xludf.DUMMYFUNCTION("""COMPUTED_VALUE"""),"R-This standard is important to move through the next standards.
E- This standard will be used in higher grade levels
A-Act Aspire &amp; MAP")</f>
        <v>R-This standard is important to move through the next standards.
E- This standard will be used in higher grade levels
A-Act Aspire &amp; MAP</v>
      </c>
      <c r="BD27" s="155"/>
    </row>
    <row r="28" spans="1:56" ht="103.5">
      <c r="A28" s="253"/>
      <c r="B28" s="88"/>
      <c r="C28" s="83"/>
      <c r="D28" s="155"/>
      <c r="E28" s="76"/>
      <c r="F28" s="76"/>
      <c r="G28" s="76"/>
      <c r="H28" s="76"/>
      <c r="I28" s="83"/>
      <c r="J28" s="155"/>
      <c r="K28" s="88">
        <f ca="1">IFERROR(__xludf.DUMMYFUNCTION("""COMPUTED_VALUE"""),4)</f>
        <v>4</v>
      </c>
      <c r="L28" s="83" t="str">
        <f ca="1">IFERROR(__xludf.DUMMYFUNCTION("""COMPUTED_VALUE"""),"1.MD.B.3")</f>
        <v>1.MD.B.3</v>
      </c>
      <c r="M28" s="155" t="str">
        <f ca="1">IFERROR(__xludf.DUMMYFUNCTION("""COMPUTED_VALUE"""),"Tell and write time in hours and halfhours using analog and digital clocks.")</f>
        <v>Tell and write time in hours and halfhours using analog and digital clocks.</v>
      </c>
      <c r="N28" s="76" t="b">
        <f ca="1">IFERROR(__xludf.DUMMYFUNCTION("""COMPUTED_VALUE"""),TRUE)</f>
        <v>1</v>
      </c>
      <c r="O28" s="76" t="b">
        <f ca="1">IFERROR(__xludf.DUMMYFUNCTION("""COMPUTED_VALUE"""),TRUE)</f>
        <v>1</v>
      </c>
      <c r="P28" s="76" t="b">
        <f ca="1">IFERROR(__xludf.DUMMYFUNCTION("""COMPUTED_VALUE"""),TRUE)</f>
        <v>1</v>
      </c>
      <c r="Q28" s="76" t="b">
        <f ca="1">IFERROR(__xludf.DUMMYFUNCTION("""COMPUTED_VALUE"""),TRUE)</f>
        <v>1</v>
      </c>
      <c r="R28" s="83"/>
      <c r="S28" s="155" t="str">
        <f ca="1">IFERROR(__xludf.DUMMYFUNCTION("""COMPUTED_VALUE"""),"R- This is a readiness standard. E-This will be vauable knowledge when learning to tell time to the second. A-This is assessed on the Map test. L-This will be necessary in everyday life and in self pacing.")</f>
        <v>R- This is a readiness standard. E-This will be vauable knowledge when learning to tell time to the second. A-This is assessed on the Map test. L-This will be necessary in everyday life and in self pacing.</v>
      </c>
      <c r="T28" s="156">
        <f ca="1">IFERROR(__xludf.DUMMYFUNCTION("""COMPUTED_VALUE"""),4)</f>
        <v>4</v>
      </c>
      <c r="U28" s="83" t="str">
        <f ca="1">IFERROR(__xludf.DUMMYFUNCTION("""COMPUTED_VALUE"""),"2.MD.C.8")</f>
        <v>2.MD.C.8</v>
      </c>
      <c r="V28" s="155" t="str">
        <f ca="1">IFERROR(__xludf.DUMMYFUNCTION("""COMPUTED_VALUE"""),"Solve word problems involving dollar bills, quarters, dimes, nickels, and pennies, using $ and ¢ symbols appropriately. Example: If you have 2 dimes and 3 pennies, how many cents do you have?")</f>
        <v>Solve word problems involving dollar bills, quarters, dimes, nickels, and pennies, using $ and ¢ symbols appropriately. Example: If you have 2 dimes and 3 pennies, how many cents do you have?</v>
      </c>
      <c r="W28" s="76" t="b">
        <f ca="1">IFERROR(__xludf.DUMMYFUNCTION("""COMPUTED_VALUE"""),TRUE)</f>
        <v>1</v>
      </c>
      <c r="X28" s="76" t="b">
        <f ca="1">IFERROR(__xludf.DUMMYFUNCTION("""COMPUTED_VALUE"""),TRUE)</f>
        <v>1</v>
      </c>
      <c r="Y28" s="76" t="b">
        <f ca="1">IFERROR(__xludf.DUMMYFUNCTION("""COMPUTED_VALUE"""),TRUE)</f>
        <v>1</v>
      </c>
      <c r="Z28" s="76" t="b">
        <f ca="1">IFERROR(__xludf.DUMMYFUNCTION("""COMPUTED_VALUE"""),TRUE)</f>
        <v>1</v>
      </c>
      <c r="AA28" s="157"/>
      <c r="AB28" s="155" t="str">
        <f ca="1">IFERROR(__xludf.DUMMYFUNCTION("""COMPUTED_VALUE"""),"R - foundational skill needed to be able to tell time to nearest minute. E - everyday life skill. A - MAP. L - needed for multi-disciplines in the future")</f>
        <v>R - foundational skill needed to be able to tell time to nearest minute. E - everyday life skill. A - MAP. L - needed for multi-disciplines in the future</v>
      </c>
      <c r="AC28" s="156">
        <f ca="1">IFERROR(__xludf.DUMMYFUNCTION("""COMPUTED_VALUE"""),4)</f>
        <v>4</v>
      </c>
      <c r="AD28" s="83" t="str">
        <f ca="1">IFERROR(__xludf.DUMMYFUNCTION("""COMPUTED_VALUE"""),"3.MD.C.7")</f>
        <v>3.MD.C.7</v>
      </c>
      <c r="AE28" s="155" t="str">
        <f ca="1">IFERROR(__xludf.DUMMYFUNCTION("""COMPUTED_VALUE"""),"Relate area to the operations of multiplication and addition.")</f>
        <v>Relate area to the operations of multiplication and addition.</v>
      </c>
      <c r="AF28" s="76" t="b">
        <f ca="1">IFERROR(__xludf.DUMMYFUNCTION("""COMPUTED_VALUE"""),TRUE)</f>
        <v>1</v>
      </c>
      <c r="AG28" s="76" t="b">
        <f ca="1">IFERROR(__xludf.DUMMYFUNCTION("""COMPUTED_VALUE"""),TRUE)</f>
        <v>1</v>
      </c>
      <c r="AH28" s="76" t="b">
        <f ca="1">IFERROR(__xludf.DUMMYFUNCTION("""COMPUTED_VALUE"""),TRUE)</f>
        <v>1</v>
      </c>
      <c r="AI28" s="76" t="b">
        <f ca="1">IFERROR(__xludf.DUMMYFUNCTION("""COMPUTED_VALUE"""),TRUE)</f>
        <v>1</v>
      </c>
      <c r="AJ28" s="83"/>
      <c r="AK28" s="155" t="str">
        <f ca="1">IFERROR(__xludf.DUMMYFUNCTION("""COMPUTED_VALUE"""),"R-understanding area helps them understand angle measurements and 4.MD.A.3 E-used to solve multiple problems using geometry A-assessed formulaicly on ACT L- Can be used to solve multiplication problems using an array/area model")</f>
        <v>R-understanding area helps them understand angle measurements and 4.MD.A.3 E-used to solve multiple problems using geometry A-assessed formulaicly on ACT L- Can be used to solve multiplication problems using an array/area model</v>
      </c>
      <c r="AL28" s="156"/>
      <c r="AM28" s="83"/>
      <c r="AN28" s="155"/>
      <c r="AO28" s="76"/>
      <c r="AP28" s="76"/>
      <c r="AQ28" s="76"/>
      <c r="AR28" s="76"/>
      <c r="AS28" s="83"/>
      <c r="AT28" s="155"/>
      <c r="AU28" s="156"/>
      <c r="AV28" s="83"/>
      <c r="AW28" s="155"/>
      <c r="AX28" s="76"/>
      <c r="AY28" s="76"/>
      <c r="AZ28" s="76"/>
      <c r="BA28" s="76"/>
      <c r="BB28" s="83"/>
      <c r="BC28" s="155"/>
      <c r="BD28" s="155"/>
    </row>
    <row r="29" spans="1:56" ht="92">
      <c r="A29" s="253"/>
      <c r="B29" s="88"/>
      <c r="C29" s="83"/>
      <c r="D29" s="155"/>
      <c r="E29" s="76"/>
      <c r="F29" s="76"/>
      <c r="G29" s="76"/>
      <c r="H29" s="76"/>
      <c r="I29" s="83"/>
      <c r="J29" s="155"/>
      <c r="K29" s="88"/>
      <c r="L29" s="83"/>
      <c r="M29" s="155"/>
      <c r="N29" s="76"/>
      <c r="O29" s="76"/>
      <c r="P29" s="76"/>
      <c r="Q29" s="76"/>
      <c r="R29" s="83"/>
      <c r="S29" s="155"/>
      <c r="T29" s="156">
        <f ca="1">IFERROR(__xludf.DUMMYFUNCTION("""COMPUTED_VALUE"""),4)</f>
        <v>4</v>
      </c>
      <c r="U29" s="83" t="str">
        <f ca="1">IFERROR(__xludf.DUMMYFUNCTION("""COMPUTED_VALUE"""),"2.MD.D.10")</f>
        <v>2.MD.D.10</v>
      </c>
      <c r="V29" s="155" t="str">
        <f ca="1">IFERROR(__xludf.DUMMYFUNCTION("""COMPUTED_VALUE"""),"Draw a picture graph and a bar graph (with single-unit scale) to represent a data set with up to four categories. Solve simple put-together, take-apart, and compare problems using information presented in a bar graph.")</f>
        <v>Draw a picture graph and a bar graph (with single-unit scale) to represent a data set with up to four categories. Solve simple put-together, take-apart, and compare problems using information presented in a bar graph.</v>
      </c>
      <c r="W29" s="76" t="b">
        <f ca="1">IFERROR(__xludf.DUMMYFUNCTION("""COMPUTED_VALUE"""),TRUE)</f>
        <v>1</v>
      </c>
      <c r="X29" s="76" t="b">
        <f ca="1">IFERROR(__xludf.DUMMYFUNCTION("""COMPUTED_VALUE"""),TRUE)</f>
        <v>1</v>
      </c>
      <c r="Y29" s="76" t="b">
        <f ca="1">IFERROR(__xludf.DUMMYFUNCTION("""COMPUTED_VALUE"""),TRUE)</f>
        <v>1</v>
      </c>
      <c r="Z29" s="76" t="b">
        <f ca="1">IFERROR(__xludf.DUMMYFUNCTION("""COMPUTED_VALUE"""),TRUE)</f>
        <v>1</v>
      </c>
      <c r="AA29" s="157"/>
      <c r="AB29" s="155" t="str">
        <f ca="1">IFERROR(__xludf.DUMMYFUNCTION("""COMPUTED_VALUE"""),"R - foundation for real life situations with surveys and data collection. E - used throughout the year and in future grades for comparing data and developing solutions. A - MAP. L - Science and real life surveys and data collection in multiple disciplines")</f>
        <v>R - foundation for real life situations with surveys and data collection. E - used throughout the year and in future grades for comparing data and developing solutions. A - MAP. L - Science and real life surveys and data collection in multiple disciplines</v>
      </c>
      <c r="AC29" s="156"/>
      <c r="AD29" s="83"/>
      <c r="AE29" s="155"/>
      <c r="AF29" s="76"/>
      <c r="AG29" s="76"/>
      <c r="AH29" s="76"/>
      <c r="AI29" s="76"/>
      <c r="AJ29" s="83"/>
      <c r="AK29" s="155"/>
      <c r="AL29" s="156"/>
      <c r="AM29" s="83"/>
      <c r="AN29" s="155"/>
      <c r="AO29" s="76"/>
      <c r="AP29" s="76"/>
      <c r="AQ29" s="76"/>
      <c r="AR29" s="76"/>
      <c r="AS29" s="83"/>
      <c r="AT29" s="155"/>
      <c r="AU29" s="156"/>
      <c r="AV29" s="83"/>
      <c r="AW29" s="155"/>
      <c r="AX29" s="76"/>
      <c r="AY29" s="76"/>
      <c r="AZ29" s="76"/>
      <c r="BA29" s="76"/>
      <c r="BB29" s="83"/>
      <c r="BC29" s="155"/>
      <c r="BD29" s="155"/>
    </row>
    <row r="30" spans="1:56" ht="13">
      <c r="A30" s="253"/>
      <c r="B30" s="88"/>
      <c r="C30" s="83"/>
      <c r="D30" s="155"/>
      <c r="E30" s="76"/>
      <c r="F30" s="76"/>
      <c r="G30" s="76"/>
      <c r="H30" s="76"/>
      <c r="I30" s="83"/>
      <c r="J30" s="155"/>
      <c r="K30" s="160"/>
      <c r="L30" s="83"/>
      <c r="M30" s="155"/>
      <c r="N30" s="76"/>
      <c r="O30" s="76"/>
      <c r="P30" s="76"/>
      <c r="Q30" s="76"/>
      <c r="R30" s="83"/>
      <c r="S30" s="155"/>
      <c r="T30" s="161"/>
      <c r="U30" s="83"/>
      <c r="V30" s="155"/>
      <c r="W30" s="76"/>
      <c r="X30" s="76"/>
      <c r="Y30" s="76"/>
      <c r="Z30" s="76"/>
      <c r="AA30" s="157"/>
      <c r="AB30" s="155"/>
      <c r="AC30" s="161"/>
      <c r="AD30" s="83"/>
      <c r="AE30" s="155"/>
      <c r="AF30" s="76"/>
      <c r="AG30" s="76"/>
      <c r="AH30" s="76"/>
      <c r="AI30" s="76"/>
      <c r="AJ30" s="83"/>
      <c r="AK30" s="155"/>
      <c r="AL30" s="161"/>
      <c r="AM30" s="83"/>
      <c r="AN30" s="155"/>
      <c r="AO30" s="76"/>
      <c r="AP30" s="76"/>
      <c r="AQ30" s="76"/>
      <c r="AR30" s="76"/>
      <c r="AS30" s="83"/>
      <c r="AT30" s="155"/>
      <c r="AU30" s="156"/>
      <c r="AV30" s="83"/>
      <c r="AW30" s="155"/>
      <c r="AX30" s="76"/>
      <c r="AY30" s="76"/>
      <c r="AZ30" s="76"/>
      <c r="BA30" s="76"/>
      <c r="BB30" s="83"/>
      <c r="BC30" s="155"/>
      <c r="BD30" s="155"/>
    </row>
    <row r="31" spans="1:56" ht="3.75" customHeight="1">
      <c r="A31" s="158"/>
      <c r="B31" s="158"/>
      <c r="C31" s="158"/>
      <c r="D31" s="158"/>
      <c r="E31" s="158"/>
      <c r="F31" s="158"/>
      <c r="G31" s="158"/>
      <c r="H31" s="158"/>
      <c r="I31" s="158"/>
      <c r="J31" s="158"/>
      <c r="K31" s="158"/>
      <c r="L31" s="158"/>
      <c r="M31" s="158"/>
      <c r="N31" s="158"/>
      <c r="O31" s="158"/>
      <c r="P31" s="158"/>
      <c r="Q31" s="158"/>
      <c r="R31" s="158"/>
      <c r="S31" s="158"/>
      <c r="T31" s="158"/>
      <c r="U31" s="158"/>
      <c r="V31" s="158"/>
      <c r="W31" s="158"/>
      <c r="X31" s="158"/>
      <c r="Y31" s="158"/>
      <c r="Z31" s="158"/>
      <c r="AA31" s="158"/>
      <c r="AB31" s="158"/>
      <c r="AC31" s="158"/>
      <c r="AD31" s="158"/>
      <c r="AE31" s="158"/>
      <c r="AF31" s="158"/>
      <c r="AG31" s="158"/>
      <c r="AH31" s="158"/>
      <c r="AI31" s="158"/>
      <c r="AJ31" s="158"/>
      <c r="AK31" s="158"/>
      <c r="AL31" s="158"/>
      <c r="AM31" s="158"/>
      <c r="AN31" s="158"/>
      <c r="AO31" s="158"/>
      <c r="AP31" s="158"/>
      <c r="AQ31" s="158"/>
      <c r="AR31" s="158"/>
      <c r="AS31" s="158"/>
      <c r="AT31" s="158"/>
      <c r="AU31" s="158"/>
      <c r="AV31" s="158"/>
      <c r="AW31" s="158"/>
      <c r="AX31" s="158"/>
      <c r="AY31" s="158"/>
      <c r="AZ31" s="158"/>
      <c r="BA31" s="158"/>
      <c r="BB31" s="158"/>
      <c r="BC31" s="158"/>
      <c r="BD31" s="159"/>
    </row>
    <row r="32" spans="1:56" ht="138">
      <c r="A32" s="257" t="s">
        <v>368</v>
      </c>
      <c r="B32" s="88"/>
      <c r="C32" s="83"/>
      <c r="D32" s="155"/>
      <c r="E32" s="76"/>
      <c r="F32" s="76"/>
      <c r="G32" s="76"/>
      <c r="H32" s="76"/>
      <c r="I32" s="83"/>
      <c r="J32" s="155"/>
      <c r="K32" s="88"/>
      <c r="L32" s="83"/>
      <c r="M32" s="155"/>
      <c r="N32" s="76"/>
      <c r="O32" s="76"/>
      <c r="P32" s="76"/>
      <c r="Q32" s="76"/>
      <c r="R32" s="83"/>
      <c r="S32" s="155"/>
      <c r="T32" s="156"/>
      <c r="U32" s="83"/>
      <c r="V32" s="155"/>
      <c r="W32" s="76"/>
      <c r="X32" s="76"/>
      <c r="Y32" s="76"/>
      <c r="Z32" s="76"/>
      <c r="AA32" s="157"/>
      <c r="AB32" s="155"/>
      <c r="AC32" s="156" t="str">
        <f ca="1">IFERROR(__xludf.DUMMYFUNCTION("unique('3-M'!M80:U88)"),"")</f>
        <v/>
      </c>
      <c r="AD32" s="83" t="str">
        <f ca="1">IFERROR(__xludf.DUMMYFUNCTION("""COMPUTED_VALUE"""),"")</f>
        <v/>
      </c>
      <c r="AE32" s="155" t="str">
        <f ca="1">IFERROR(__xludf.DUMMYFUNCTION("""COMPUTED_VALUE"""),"")</f>
        <v/>
      </c>
      <c r="AF32" s="76" t="str">
        <f ca="1">IFERROR(__xludf.DUMMYFUNCTION("""COMPUTED_VALUE"""),"")</f>
        <v/>
      </c>
      <c r="AG32" s="76" t="str">
        <f ca="1">IFERROR(__xludf.DUMMYFUNCTION("""COMPUTED_VALUE"""),"")</f>
        <v/>
      </c>
      <c r="AH32" s="76" t="str">
        <f ca="1">IFERROR(__xludf.DUMMYFUNCTION("""COMPUTED_VALUE"""),"")</f>
        <v/>
      </c>
      <c r="AI32" s="76" t="str">
        <f ca="1">IFERROR(__xludf.DUMMYFUNCTION("""COMPUTED_VALUE"""),"")</f>
        <v/>
      </c>
      <c r="AJ32" s="83" t="str">
        <f ca="1">IFERROR(__xludf.DUMMYFUNCTION("""COMPUTED_VALUE"""),"")</f>
        <v/>
      </c>
      <c r="AK32" s="155" t="str">
        <f ca="1">IFERROR(__xludf.DUMMYFUNCTION("""COMPUTED_VALUE"""),"")</f>
        <v/>
      </c>
      <c r="AL32" s="156">
        <f ca="1">IFERROR(__xludf.DUMMYFUNCTION("unique('4-M'!M70:U83)"),4)</f>
        <v>4</v>
      </c>
      <c r="AM32" s="83" t="str">
        <f ca="1">IFERROR(__xludf.DUMMYFUNCTION("""COMPUTED_VALUE"""),"4.NF.A.1")</f>
        <v>4.NF.A.1</v>
      </c>
      <c r="AN32" s="155" t="str">
        <f ca="1">IFERROR(__xludf.DUMMYFUNCTION("""COMPUTED_VALUE"""),"Explain why a fraction a/b is equivalent to a fraction (n × a)/(n × b) by using visual fraction models, with attention to how the number and size of the parts differ even though the two fractions themselves are the same size. Use this principle to recogni"&amp;"ze and generate equivalent fractions.")</f>
        <v>Explain why a fraction a/b is equivalent to a fraction (n × a)/(n × b) by using visual fraction models, with attention to how the number and size of the parts differ even though the two fractions themselves are the same size. Use this principle to recognize and generate equivalent fractions.</v>
      </c>
      <c r="AO32" s="76" t="b">
        <f ca="1">IFERROR(__xludf.DUMMYFUNCTION("""COMPUTED_VALUE"""),TRUE)</f>
        <v>1</v>
      </c>
      <c r="AP32" s="76" t="b">
        <f ca="1">IFERROR(__xludf.DUMMYFUNCTION("""COMPUTED_VALUE"""),TRUE)</f>
        <v>1</v>
      </c>
      <c r="AQ32" s="76" t="b">
        <f ca="1">IFERROR(__xludf.DUMMYFUNCTION("""COMPUTED_VALUE"""),TRUE)</f>
        <v>1</v>
      </c>
      <c r="AR32" s="76" t="b">
        <f ca="1">IFERROR(__xludf.DUMMYFUNCTION("""COMPUTED_VALUE"""),TRUE)</f>
        <v>1</v>
      </c>
      <c r="AS32" s="83"/>
      <c r="AT32" s="155" t="str">
        <f ca="1">IFERROR(__xludf.DUMMYFUNCTION("""COMPUTED_VALUE"""),"R- In 5th grade, students will need to add and subtract fractions with unlike denominators.5.NF.A.1
E-This will continue through the next several grade levels in math, as well as in life. 
A-ACT Aspire, MAP, Common assessment
L- Connects to many areas of "&amp;"math (fractions, decimals, equivalence, etc.)")</f>
        <v>R- In 5th grade, students will need to add and subtract fractions with unlike denominators.5.NF.A.1
E-This will continue through the next several grade levels in math, as well as in life. 
A-ACT Aspire, MAP, Common assessment
L- Connects to many areas of math (fractions, decimals, equivalence, etc.)</v>
      </c>
      <c r="AU32" s="156" t="str">
        <f ca="1">IFERROR(__xludf.DUMMYFUNCTION("unique('5-M'!M74:U86)"),"")</f>
        <v/>
      </c>
      <c r="AV32" s="83" t="str">
        <f ca="1">IFERROR(__xludf.DUMMYFUNCTION("""COMPUTED_VALUE"""),"")</f>
        <v/>
      </c>
      <c r="AW32" s="155" t="str">
        <f ca="1">IFERROR(__xludf.DUMMYFUNCTION("""COMPUTED_VALUE"""),"")</f>
        <v/>
      </c>
      <c r="AX32" s="76" t="str">
        <f ca="1">IFERROR(__xludf.DUMMYFUNCTION("""COMPUTED_VALUE"""),"")</f>
        <v/>
      </c>
      <c r="AY32" s="76" t="str">
        <f ca="1">IFERROR(__xludf.DUMMYFUNCTION("""COMPUTED_VALUE"""),"")</f>
        <v/>
      </c>
      <c r="AZ32" s="76" t="str">
        <f ca="1">IFERROR(__xludf.DUMMYFUNCTION("""COMPUTED_VALUE"""),"")</f>
        <v/>
      </c>
      <c r="BA32" s="76" t="str">
        <f ca="1">IFERROR(__xludf.DUMMYFUNCTION("""COMPUTED_VALUE"""),"")</f>
        <v/>
      </c>
      <c r="BB32" s="83" t="str">
        <f ca="1">IFERROR(__xludf.DUMMYFUNCTION("""COMPUTED_VALUE"""),"")</f>
        <v/>
      </c>
      <c r="BC32" s="155" t="str">
        <f ca="1">IFERROR(__xludf.DUMMYFUNCTION("""COMPUTED_VALUE"""),"")</f>
        <v/>
      </c>
      <c r="BD32" s="155"/>
    </row>
    <row r="33" spans="1:56" ht="172.5">
      <c r="A33" s="253"/>
      <c r="B33" s="88"/>
      <c r="C33" s="83"/>
      <c r="D33" s="155"/>
      <c r="E33" s="76"/>
      <c r="F33" s="76"/>
      <c r="G33" s="76"/>
      <c r="H33" s="76"/>
      <c r="I33" s="83"/>
      <c r="J33" s="155"/>
      <c r="K33" s="88"/>
      <c r="L33" s="83"/>
      <c r="M33" s="155"/>
      <c r="N33" s="76"/>
      <c r="O33" s="76"/>
      <c r="P33" s="76"/>
      <c r="Q33" s="76"/>
      <c r="R33" s="83"/>
      <c r="S33" s="155"/>
      <c r="T33" s="156"/>
      <c r="U33" s="83"/>
      <c r="V33" s="155"/>
      <c r="W33" s="76"/>
      <c r="X33" s="76"/>
      <c r="Y33" s="76"/>
      <c r="Z33" s="76"/>
      <c r="AA33" s="157"/>
      <c r="AB33" s="155"/>
      <c r="AC33" s="156">
        <f ca="1">IFERROR(__xludf.DUMMYFUNCTION("""COMPUTED_VALUE"""),4)</f>
        <v>4</v>
      </c>
      <c r="AD33" s="83" t="str">
        <f ca="1">IFERROR(__xludf.DUMMYFUNCTION("""COMPUTED_VALUE"""),"3.NF.A.3")</f>
        <v>3.NF.A.3</v>
      </c>
      <c r="AE33" s="155" t="str">
        <f ca="1">IFERROR(__xludf.DUMMYFUNCTION("""COMPUTED_VALUE"""),"Explain equivalence of fractions in special cases, and compare fractions by reasoning about their size.")</f>
        <v>Explain equivalence of fractions in special cases, and compare fractions by reasoning about their size.</v>
      </c>
      <c r="AF33" s="76" t="b">
        <f ca="1">IFERROR(__xludf.DUMMYFUNCTION("""COMPUTED_VALUE"""),TRUE)</f>
        <v>1</v>
      </c>
      <c r="AG33" s="76" t="b">
        <f ca="1">IFERROR(__xludf.DUMMYFUNCTION("""COMPUTED_VALUE"""),TRUE)</f>
        <v>1</v>
      </c>
      <c r="AH33" s="76" t="b">
        <f ca="1">IFERROR(__xludf.DUMMYFUNCTION("""COMPUTED_VALUE"""),TRUE)</f>
        <v>1</v>
      </c>
      <c r="AI33" s="76" t="b">
        <f ca="1">IFERROR(__xludf.DUMMYFUNCTION("""COMPUTED_VALUE"""),TRUE)</f>
        <v>1</v>
      </c>
      <c r="AJ33" s="83"/>
      <c r="AK33" s="155" t="str">
        <f ca="1">IFERROR(__xludf.DUMMYFUNCTION("""COMPUTED_VALUE"""),"R- Fractions is an entire strand in 4th grade. E- This concept is built on throughout the entire year. A- Will be assessed multiple ways L- Students will use fractions in real life to cook, measure, estimate, etc. ")</f>
        <v xml:space="preserve">R- Fractions is an entire strand in 4th grade. E- This concept is built on throughout the entire year. A- Will be assessed multiple ways L- Students will use fractions in real life to cook, measure, estimate, etc. </v>
      </c>
      <c r="AL33" s="156" t="str">
        <f ca="1">IFERROR(__xludf.DUMMYFUNCTION("""COMPUTED_VALUE"""),"")</f>
        <v/>
      </c>
      <c r="AM33" s="83" t="str">
        <f ca="1">IFERROR(__xludf.DUMMYFUNCTION("""COMPUTED_VALUE"""),"")</f>
        <v/>
      </c>
      <c r="AN33" s="155" t="str">
        <f ca="1">IFERROR(__xludf.DUMMYFUNCTION("""COMPUTED_VALUE"""),"")</f>
        <v/>
      </c>
      <c r="AO33" s="76" t="str">
        <f ca="1">IFERROR(__xludf.DUMMYFUNCTION("""COMPUTED_VALUE"""),"")</f>
        <v/>
      </c>
      <c r="AP33" s="76" t="str">
        <f ca="1">IFERROR(__xludf.DUMMYFUNCTION("""COMPUTED_VALUE"""),"")</f>
        <v/>
      </c>
      <c r="AQ33" s="76" t="str">
        <f ca="1">IFERROR(__xludf.DUMMYFUNCTION("""COMPUTED_VALUE"""),"")</f>
        <v/>
      </c>
      <c r="AR33" s="76" t="str">
        <f ca="1">IFERROR(__xludf.DUMMYFUNCTION("""COMPUTED_VALUE"""),"")</f>
        <v/>
      </c>
      <c r="AS33" s="83" t="str">
        <f ca="1">IFERROR(__xludf.DUMMYFUNCTION("""COMPUTED_VALUE"""),"")</f>
        <v/>
      </c>
      <c r="AT33" s="155" t="str">
        <f ca="1">IFERROR(__xludf.DUMMYFUNCTION("""COMPUTED_VALUE"""),"")</f>
        <v/>
      </c>
      <c r="AU33" s="156">
        <f ca="1">IFERROR(__xludf.DUMMYFUNCTION("""COMPUTED_VALUE"""),4)</f>
        <v>4</v>
      </c>
      <c r="AV33" s="83" t="str">
        <f ca="1">IFERROR(__xludf.DUMMYFUNCTION("""COMPUTED_VALUE"""),"5.NF.A.2")</f>
        <v>5.NF.A.2</v>
      </c>
      <c r="AW33" s="155" t="str">
        <f ca="1">IFERROR(__xludf.DUMMYFUNCTION("""COMPUTED_VALUE"""),"Solve word problems involving addition and subtraction of fractions referring to the same whole, including cases of unlike denominators, e.g., by using visual fraction models or equations to represent the problem. Use benchmark fractions and number sense "&amp;"of fractions to estimate mentally and assess the reasonableness of answers. For example, recognize an incorrect result 2/5 + 1/2 = 3/7, by observing that 3/7 &lt; 1/2.")</f>
        <v>Solve word problems involving addition and subtraction of fractions referring to the same whole, including cases of unlike denominators, e.g., by using visual fraction models or equations to represent the problem. Use benchmark fractions and number sense of fractions to estimate mentally and assess the reasonableness of answers. For example, recognize an incorrect result 2/5 + 1/2 = 3/7, by observing that 3/7 &lt; 1/2.</v>
      </c>
      <c r="AX33" s="76" t="b">
        <f ca="1">IFERROR(__xludf.DUMMYFUNCTION("""COMPUTED_VALUE"""),TRUE)</f>
        <v>1</v>
      </c>
      <c r="AY33" s="76" t="b">
        <f ca="1">IFERROR(__xludf.DUMMYFUNCTION("""COMPUTED_VALUE"""),TRUE)</f>
        <v>1</v>
      </c>
      <c r="AZ33" s="76" t="b">
        <f ca="1">IFERROR(__xludf.DUMMYFUNCTION("""COMPUTED_VALUE"""),TRUE)</f>
        <v>1</v>
      </c>
      <c r="BA33" s="76" t="b">
        <f ca="1">IFERROR(__xludf.DUMMYFUNCTION("""COMPUTED_VALUE"""),TRUE)</f>
        <v>1</v>
      </c>
      <c r="BB33" s="83"/>
      <c r="BC33" s="155" t="str">
        <f ca="1">IFERROR(__xludf.DUMMYFUNCTION("""COMPUTED_VALUE"""),"foundation for other math operations and is a real world skill (cooking)")</f>
        <v>foundation for other math operations and is a real world skill (cooking)</v>
      </c>
      <c r="BD33" s="155"/>
    </row>
    <row r="34" spans="1:56" ht="126.5">
      <c r="A34" s="253"/>
      <c r="B34" s="88"/>
      <c r="C34" s="83"/>
      <c r="D34" s="155"/>
      <c r="E34" s="76"/>
      <c r="F34" s="76"/>
      <c r="G34" s="76"/>
      <c r="H34" s="76"/>
      <c r="I34" s="83"/>
      <c r="J34" s="155"/>
      <c r="K34" s="88"/>
      <c r="L34" s="83"/>
      <c r="M34" s="155"/>
      <c r="N34" s="76"/>
      <c r="O34" s="76"/>
      <c r="P34" s="76"/>
      <c r="Q34" s="76"/>
      <c r="R34" s="83"/>
      <c r="S34" s="155"/>
      <c r="T34" s="156"/>
      <c r="U34" s="83"/>
      <c r="V34" s="155"/>
      <c r="W34" s="76"/>
      <c r="X34" s="76"/>
      <c r="Y34" s="76"/>
      <c r="Z34" s="76"/>
      <c r="AA34" s="157"/>
      <c r="AB34" s="155"/>
      <c r="AC34" s="156">
        <f ca="1">IFERROR(__xludf.DUMMYFUNCTION("""COMPUTED_VALUE"""),4)</f>
        <v>4</v>
      </c>
      <c r="AD34" s="83" t="str">
        <f ca="1">IFERROR(__xludf.DUMMYFUNCTION("""COMPUTED_VALUE"""),"3.NF.A.3d")</f>
        <v>3.NF.A.3d</v>
      </c>
      <c r="AE34" s="155" t="str">
        <f ca="1">IFERROR(__xludf.DUMMYFUNCTION("""COMPUTED_VALUE"""),"Compare two fractions with the same numerator or the same denominator by reasoning about their size. Recognize that comparisons are valid only when the two fractions refer to the same whole. Record the results of comparisons with the symbols &gt;, =, or &lt;, a"&amp;"nd justify the conclusions, e.g., by using a visual fraction model.")</f>
        <v>Compare two fractions with the same numerator or the same denominator by reasoning about their size. Recognize that comparisons are valid only when the two fractions refer to the same whole. Record the results of comparisons with the symbols &gt;, =, or &lt;, and justify the conclusions, e.g., by using a visual fraction model.</v>
      </c>
      <c r="AF34" s="76" t="b">
        <f ca="1">IFERROR(__xludf.DUMMYFUNCTION("""COMPUTED_VALUE"""),TRUE)</f>
        <v>1</v>
      </c>
      <c r="AG34" s="76" t="b">
        <f ca="1">IFERROR(__xludf.DUMMYFUNCTION("""COMPUTED_VALUE"""),TRUE)</f>
        <v>1</v>
      </c>
      <c r="AH34" s="76" t="b">
        <f ca="1">IFERROR(__xludf.DUMMYFUNCTION("""COMPUTED_VALUE"""),TRUE)</f>
        <v>1</v>
      </c>
      <c r="AI34" s="76" t="b">
        <f ca="1">IFERROR(__xludf.DUMMYFUNCTION("""COMPUTED_VALUE"""),TRUE)</f>
        <v>1</v>
      </c>
      <c r="AJ34" s="83"/>
      <c r="AK34" s="155" t="str">
        <f ca="1">IFERROR(__xludf.DUMMYFUNCTION("""COMPUTED_VALUE"""),"R- 4.NF.A.2
E-comparing fractions with different numerators and demoninators need this standard
A- ACT Aspire
L- Science/cooking, baking in real life")</f>
        <v>R- 4.NF.A.2
E-comparing fractions with different numerators and demoninators need this standard
A- ACT Aspire
L- Science/cooking, baking in real life</v>
      </c>
      <c r="AL34" s="156">
        <f ca="1">IFERROR(__xludf.DUMMYFUNCTION("""COMPUTED_VALUE"""),3)</f>
        <v>3</v>
      </c>
      <c r="AM34" s="83" t="str">
        <f ca="1">IFERROR(__xludf.DUMMYFUNCTION("""COMPUTED_VALUE"""),"4.NF.B.4")</f>
        <v>4.NF.B.4</v>
      </c>
      <c r="AN34" s="155" t="str">
        <f ca="1">IFERROR(__xludf.DUMMYFUNCTION("""COMPUTED_VALUE"""),"Apply and extend previous understandings of multiplication to multiply a fraction by a whole number.")</f>
        <v>Apply and extend previous understandings of multiplication to multiply a fraction by a whole number.</v>
      </c>
      <c r="AO34" s="76" t="b">
        <f ca="1">IFERROR(__xludf.DUMMYFUNCTION("""COMPUTED_VALUE"""),TRUE)</f>
        <v>1</v>
      </c>
      <c r="AP34" s="76" t="b">
        <f ca="1">IFERROR(__xludf.DUMMYFUNCTION("""COMPUTED_VALUE"""),TRUE)</f>
        <v>1</v>
      </c>
      <c r="AQ34" s="76" t="b">
        <f ca="1">IFERROR(__xludf.DUMMYFUNCTION("""COMPUTED_VALUE"""),TRUE)</f>
        <v>1</v>
      </c>
      <c r="AR34" s="76" t="b">
        <f ca="1">IFERROR(__xludf.DUMMYFUNCTION("""COMPUTED_VALUE"""),FALSE)</f>
        <v>0</v>
      </c>
      <c r="AS34" s="83"/>
      <c r="AT34" s="155" t="str">
        <f ca="1">IFERROR(__xludf.DUMMYFUNCTION("""COMPUTED_VALUE"""),"R-Connects to mulitplication and factors to determine common denominators in order to use operations of fractions in 5th grade.
E- This will continue through the next several grade levels in math
A- ACT Aspire, MAP")</f>
        <v>R-Connects to mulitplication and factors to determine common denominators in order to use operations of fractions in 5th grade.
E- This will continue through the next several grade levels in math
A- ACT Aspire, MAP</v>
      </c>
      <c r="AU34" s="156">
        <f ca="1">IFERROR(__xludf.DUMMYFUNCTION("""COMPUTED_VALUE"""),3)</f>
        <v>3</v>
      </c>
      <c r="AV34" s="83" t="str">
        <f ca="1">IFERROR(__xludf.DUMMYFUNCTION("""COMPUTED_VALUE"""),"5.NF.B.6")</f>
        <v>5.NF.B.6</v>
      </c>
      <c r="AW34" s="155" t="str">
        <f ca="1">IFERROR(__xludf.DUMMYFUNCTION("""COMPUTED_VALUE"""),"Solve real world problems involving multiplication of fractions and mixed numbers, e.g., by using visual fraction models or equations to represent the problem.")</f>
        <v>Solve real world problems involving multiplication of fractions and mixed numbers, e.g., by using visual fraction models or equations to represent the problem.</v>
      </c>
      <c r="AX34" s="76" t="b">
        <f ca="1">IFERROR(__xludf.DUMMYFUNCTION("""COMPUTED_VALUE"""),TRUE)</f>
        <v>1</v>
      </c>
      <c r="AY34" s="76" t="b">
        <f ca="1">IFERROR(__xludf.DUMMYFUNCTION("""COMPUTED_VALUE"""),FALSE)</f>
        <v>0</v>
      </c>
      <c r="AZ34" s="76" t="b">
        <f ca="1">IFERROR(__xludf.DUMMYFUNCTION("""COMPUTED_VALUE"""),TRUE)</f>
        <v>1</v>
      </c>
      <c r="BA34" s="76" t="b">
        <f ca="1">IFERROR(__xludf.DUMMYFUNCTION("""COMPUTED_VALUE"""),TRUE)</f>
        <v>1</v>
      </c>
      <c r="BB34" s="83"/>
      <c r="BC34" s="155" t="str">
        <f ca="1">IFERROR(__xludf.DUMMYFUNCTION("""COMPUTED_VALUE"""),"R- building block for future ratio and eqution work, E- this standard will continue to be addressed in future grades,  A- MAP, ACT Aspire, L- carries over to science")</f>
        <v>R- building block for future ratio and eqution work, E- this standard will continue to be addressed in future grades,  A- MAP, ACT Aspire, L- carries over to science</v>
      </c>
      <c r="BD34" s="155"/>
    </row>
    <row r="35" spans="1:56" ht="115">
      <c r="A35" s="253"/>
      <c r="B35" s="88"/>
      <c r="C35" s="83"/>
      <c r="D35" s="155"/>
      <c r="E35" s="76"/>
      <c r="F35" s="76"/>
      <c r="G35" s="76"/>
      <c r="H35" s="76"/>
      <c r="I35" s="83"/>
      <c r="J35" s="155"/>
      <c r="K35" s="88"/>
      <c r="L35" s="83"/>
      <c r="M35" s="155"/>
      <c r="N35" s="76"/>
      <c r="O35" s="76"/>
      <c r="P35" s="76"/>
      <c r="Q35" s="76"/>
      <c r="R35" s="83"/>
      <c r="S35" s="155"/>
      <c r="T35" s="156"/>
      <c r="U35" s="83"/>
      <c r="V35" s="155"/>
      <c r="W35" s="76"/>
      <c r="X35" s="76"/>
      <c r="Y35" s="76"/>
      <c r="Z35" s="76"/>
      <c r="AA35" s="157"/>
      <c r="AB35" s="155"/>
      <c r="AC35" s="156"/>
      <c r="AD35" s="83"/>
      <c r="AE35" s="155"/>
      <c r="AF35" s="76"/>
      <c r="AG35" s="76"/>
      <c r="AH35" s="76"/>
      <c r="AI35" s="76"/>
      <c r="AJ35" s="83"/>
      <c r="AK35" s="155"/>
      <c r="AL35" s="156">
        <f ca="1">IFERROR(__xludf.DUMMYFUNCTION("""COMPUTED_VALUE"""),3)</f>
        <v>3</v>
      </c>
      <c r="AM35" s="83" t="str">
        <f ca="1">IFERROR(__xludf.DUMMYFUNCTION("""COMPUTED_VALUE"""),"4.NF.C.7")</f>
        <v>4.NF.C.7</v>
      </c>
      <c r="AN35" s="155" t="str">
        <f ca="1">IFERROR(__xludf.DUMMYFUNCTION("""COMPUTED_VALUE"""),"Compare two decimals to hundredths by reasoning about their size. Recognize that comparisons are valid only when the two decimals refer to the same whole. Record the results of comparisons with the symbols &gt;, =, or &lt;, and justify the conclusions, e.g., by"&amp;" using a visual model.")</f>
        <v>Compare two decimals to hundredths by reasoning about their size. Recognize that comparisons are valid only when the two decimals refer to the same whole. Record the results of comparisons with the symbols &gt;, =, or &lt;, and justify the conclusions, e.g., by using a visual model.</v>
      </c>
      <c r="AO35" s="76" t="b">
        <f ca="1">IFERROR(__xludf.DUMMYFUNCTION("""COMPUTED_VALUE"""),TRUE)</f>
        <v>1</v>
      </c>
      <c r="AP35" s="76" t="b">
        <f ca="1">IFERROR(__xludf.DUMMYFUNCTION("""COMPUTED_VALUE"""),TRUE)</f>
        <v>1</v>
      </c>
      <c r="AQ35" s="76" t="b">
        <f ca="1">IFERROR(__xludf.DUMMYFUNCTION("""COMPUTED_VALUE"""),TRUE)</f>
        <v>1</v>
      </c>
      <c r="AR35" s="76" t="b">
        <f ca="1">IFERROR(__xludf.DUMMYFUNCTION("""COMPUTED_VALUE"""),FALSE)</f>
        <v>0</v>
      </c>
      <c r="AS35" s="83"/>
      <c r="AT35" s="155" t="str">
        <f ca="1">IFERROR(__xludf.DUMMYFUNCTION("""COMPUTED_VALUE"""),"R-Connects to decimals in 5th grade.
E- This will continue through the next several grade levels in math
A- ACT Aspire, MAP")</f>
        <v>R-Connects to decimals in 5th grade.
E- This will continue through the next several grade levels in math
A- ACT Aspire, MAP</v>
      </c>
      <c r="AU35" s="156">
        <f ca="1">IFERROR(__xludf.DUMMYFUNCTION("""COMPUTED_VALUE"""),3)</f>
        <v>3</v>
      </c>
      <c r="AV35" s="83" t="str">
        <f ca="1">IFERROR(__xludf.DUMMYFUNCTION("""COMPUTED_VALUE"""),"5.NF.B.7")</f>
        <v>5.NF.B.7</v>
      </c>
      <c r="AW35" s="155" t="str">
        <f ca="1">IFERROR(__xludf.DUMMYFUNCTION("""COMPUTED_VALUE"""),"Apply and extend previous understandings of division to divide unit fractions by whole numbers and whole numbers by unit fractions.")</f>
        <v>Apply and extend previous understandings of division to divide unit fractions by whole numbers and whole numbers by unit fractions.</v>
      </c>
      <c r="AX35" s="76" t="b">
        <f ca="1">IFERROR(__xludf.DUMMYFUNCTION("""COMPUTED_VALUE"""),TRUE)</f>
        <v>1</v>
      </c>
      <c r="AY35" s="76" t="b">
        <f ca="1">IFERROR(__xludf.DUMMYFUNCTION("""COMPUTED_VALUE"""),FALSE)</f>
        <v>0</v>
      </c>
      <c r="AZ35" s="76" t="b">
        <f ca="1">IFERROR(__xludf.DUMMYFUNCTION("""COMPUTED_VALUE"""),TRUE)</f>
        <v>1</v>
      </c>
      <c r="BA35" s="76" t="b">
        <f ca="1">IFERROR(__xludf.DUMMYFUNCTION("""COMPUTED_VALUE"""),TRUE)</f>
        <v>1</v>
      </c>
      <c r="BB35" s="83"/>
      <c r="BC35" s="155" t="str">
        <f ca="1">IFERROR(__xludf.DUMMYFUNCTION("""COMPUTED_VALUE"""),"R- building block for future ratio and eqution work, E- this standard will continue to be addressed in future grades, A- MAP, ACT Aspire, L- carries over to science")</f>
        <v>R- building block for future ratio and eqution work, E- this standard will continue to be addressed in future grades, A- MAP, ACT Aspire, L- carries over to science</v>
      </c>
      <c r="BD35" s="155"/>
    </row>
    <row r="36" spans="1:56" ht="13">
      <c r="A36" s="253"/>
      <c r="B36" s="88"/>
      <c r="C36" s="83"/>
      <c r="D36" s="155"/>
      <c r="E36" s="76"/>
      <c r="F36" s="76"/>
      <c r="G36" s="76"/>
      <c r="H36" s="76"/>
      <c r="I36" s="83"/>
      <c r="J36" s="155"/>
      <c r="K36" s="88"/>
      <c r="L36" s="83"/>
      <c r="M36" s="155"/>
      <c r="N36" s="76"/>
      <c r="O36" s="76"/>
      <c r="P36" s="76"/>
      <c r="Q36" s="76"/>
      <c r="R36" s="83"/>
      <c r="S36" s="155"/>
      <c r="T36" s="156"/>
      <c r="U36" s="83"/>
      <c r="V36" s="155"/>
      <c r="W36" s="76"/>
      <c r="X36" s="76"/>
      <c r="Y36" s="76"/>
      <c r="Z36" s="76"/>
      <c r="AA36" s="157"/>
      <c r="AB36" s="155"/>
      <c r="AC36" s="156"/>
      <c r="AD36" s="83"/>
      <c r="AE36" s="155"/>
      <c r="AF36" s="76"/>
      <c r="AG36" s="76"/>
      <c r="AH36" s="76"/>
      <c r="AI36" s="76"/>
      <c r="AJ36" s="83"/>
      <c r="AK36" s="155"/>
      <c r="AL36" s="156"/>
      <c r="AM36" s="83"/>
      <c r="AN36" s="155"/>
      <c r="AO36" s="76"/>
      <c r="AP36" s="76"/>
      <c r="AQ36" s="76"/>
      <c r="AR36" s="76"/>
      <c r="AS36" s="83"/>
      <c r="AT36" s="155"/>
      <c r="AU36" s="156"/>
      <c r="AV36" s="83"/>
      <c r="AW36" s="155"/>
      <c r="AX36" s="76"/>
      <c r="AY36" s="76"/>
      <c r="AZ36" s="76"/>
      <c r="BA36" s="76"/>
      <c r="BB36" s="83"/>
      <c r="BC36" s="155"/>
      <c r="BD36" s="155"/>
    </row>
    <row r="37" spans="1:56" ht="13">
      <c r="A37" s="255"/>
      <c r="B37" s="88"/>
      <c r="C37" s="83"/>
      <c r="D37" s="155"/>
      <c r="E37" s="76"/>
      <c r="F37" s="76"/>
      <c r="G37" s="76"/>
      <c r="H37" s="76"/>
      <c r="I37" s="83"/>
      <c r="J37" s="155"/>
      <c r="K37" s="88"/>
      <c r="L37" s="83"/>
      <c r="M37" s="155"/>
      <c r="N37" s="76"/>
      <c r="O37" s="76"/>
      <c r="P37" s="76"/>
      <c r="Q37" s="76"/>
      <c r="R37" s="83"/>
      <c r="S37" s="155"/>
      <c r="T37" s="156"/>
      <c r="U37" s="83"/>
      <c r="V37" s="155"/>
      <c r="W37" s="76"/>
      <c r="X37" s="76"/>
      <c r="Y37" s="76"/>
      <c r="Z37" s="76"/>
      <c r="AA37" s="157"/>
      <c r="AB37" s="155"/>
      <c r="AC37" s="156"/>
      <c r="AD37" s="83"/>
      <c r="AE37" s="155"/>
      <c r="AF37" s="76"/>
      <c r="AG37" s="76"/>
      <c r="AH37" s="76"/>
      <c r="AI37" s="76"/>
      <c r="AJ37" s="83"/>
      <c r="AK37" s="155"/>
      <c r="AL37" s="156"/>
      <c r="AM37" s="83"/>
      <c r="AN37" s="155"/>
      <c r="AO37" s="76"/>
      <c r="AP37" s="76"/>
      <c r="AQ37" s="76"/>
      <c r="AR37" s="76"/>
      <c r="AS37" s="83"/>
      <c r="AT37" s="155"/>
      <c r="AU37" s="156"/>
      <c r="AV37" s="83"/>
      <c r="AW37" s="155"/>
      <c r="AX37" s="76"/>
      <c r="AY37" s="76"/>
      <c r="AZ37" s="76"/>
      <c r="BA37" s="76"/>
      <c r="BB37" s="83"/>
      <c r="BC37" s="155"/>
      <c r="BD37" s="155"/>
    </row>
    <row r="38" spans="1:56" ht="3.75" customHeight="1">
      <c r="A38" s="158"/>
      <c r="B38" s="158"/>
      <c r="C38" s="158"/>
      <c r="D38" s="158"/>
      <c r="E38" s="158"/>
      <c r="F38" s="158"/>
      <c r="G38" s="158"/>
      <c r="H38" s="158"/>
      <c r="I38" s="158"/>
      <c r="J38" s="158"/>
      <c r="K38" s="158"/>
      <c r="L38" s="158"/>
      <c r="M38" s="158"/>
      <c r="N38" s="158"/>
      <c r="O38" s="158"/>
      <c r="P38" s="158"/>
      <c r="Q38" s="158"/>
      <c r="R38" s="158"/>
      <c r="S38" s="158"/>
      <c r="T38" s="158"/>
      <c r="U38" s="158"/>
      <c r="V38" s="158"/>
      <c r="W38" s="158"/>
      <c r="X38" s="158"/>
      <c r="Y38" s="158"/>
      <c r="Z38" s="158"/>
      <c r="AA38" s="158"/>
      <c r="AB38" s="158"/>
      <c r="AC38" s="158"/>
      <c r="AD38" s="158"/>
      <c r="AE38" s="158"/>
      <c r="AF38" s="158"/>
      <c r="AG38" s="158"/>
      <c r="AH38" s="158"/>
      <c r="AI38" s="158"/>
      <c r="AJ38" s="158"/>
      <c r="AK38" s="158"/>
      <c r="AL38" s="158"/>
      <c r="AM38" s="158"/>
      <c r="AN38" s="158"/>
      <c r="AO38" s="158"/>
      <c r="AP38" s="158"/>
      <c r="AQ38" s="158"/>
      <c r="AR38" s="158"/>
      <c r="AS38" s="158"/>
      <c r="AT38" s="158"/>
      <c r="AU38" s="158"/>
      <c r="AV38" s="158"/>
      <c r="AW38" s="158"/>
      <c r="AX38" s="158"/>
      <c r="AY38" s="158"/>
      <c r="AZ38" s="158"/>
      <c r="BA38" s="158"/>
      <c r="BB38" s="158"/>
      <c r="BC38" s="158"/>
      <c r="BD38" s="159"/>
    </row>
    <row r="39" spans="1:56" ht="13">
      <c r="A39" s="258" t="s">
        <v>645</v>
      </c>
      <c r="B39" s="88"/>
      <c r="C39" s="83"/>
      <c r="D39" s="155"/>
      <c r="E39" s="76"/>
      <c r="F39" s="76"/>
      <c r="G39" s="76"/>
      <c r="H39" s="76"/>
      <c r="I39" s="83"/>
      <c r="J39" s="155"/>
      <c r="K39" s="88"/>
      <c r="L39" s="83"/>
      <c r="M39" s="155"/>
      <c r="N39" s="76"/>
      <c r="O39" s="76"/>
      <c r="P39" s="76"/>
      <c r="Q39" s="76"/>
      <c r="R39" s="83"/>
      <c r="S39" s="155"/>
      <c r="T39" s="156"/>
      <c r="U39" s="83"/>
      <c r="V39" s="155"/>
      <c r="W39" s="76"/>
      <c r="X39" s="76"/>
      <c r="Y39" s="76"/>
      <c r="Z39" s="76"/>
      <c r="AA39" s="157"/>
      <c r="AB39" s="155"/>
      <c r="AC39" s="156"/>
      <c r="AD39" s="83"/>
      <c r="AE39" s="155"/>
      <c r="AF39" s="76"/>
      <c r="AG39" s="76"/>
      <c r="AH39" s="76"/>
      <c r="AI39" s="76"/>
      <c r="AJ39" s="83"/>
      <c r="AK39" s="155"/>
      <c r="AL39" s="156"/>
      <c r="AM39" s="83"/>
      <c r="AN39" s="155"/>
      <c r="AO39" s="76"/>
      <c r="AP39" s="76"/>
      <c r="AQ39" s="76"/>
      <c r="AR39" s="76"/>
      <c r="AS39" s="83"/>
      <c r="AT39" s="155"/>
      <c r="AU39" s="156"/>
      <c r="AV39" s="83"/>
      <c r="AW39" s="155"/>
      <c r="AX39" s="76"/>
      <c r="AY39" s="76"/>
      <c r="AZ39" s="76"/>
      <c r="BA39" s="76"/>
      <c r="BB39" s="83"/>
      <c r="BC39" s="155"/>
      <c r="BD39" s="155"/>
    </row>
    <row r="40" spans="1:56" ht="13">
      <c r="A40" s="253"/>
      <c r="B40" s="88"/>
      <c r="C40" s="83"/>
      <c r="D40" s="155"/>
      <c r="E40" s="76"/>
      <c r="F40" s="76"/>
      <c r="G40" s="76"/>
      <c r="H40" s="76"/>
      <c r="I40" s="83"/>
      <c r="J40" s="155"/>
      <c r="K40" s="88"/>
      <c r="L40" s="83"/>
      <c r="M40" s="155"/>
      <c r="N40" s="76"/>
      <c r="O40" s="76"/>
      <c r="P40" s="76"/>
      <c r="Q40" s="76"/>
      <c r="R40" s="83"/>
      <c r="S40" s="155"/>
      <c r="T40" s="156"/>
      <c r="U40" s="83"/>
      <c r="V40" s="155"/>
      <c r="W40" s="76"/>
      <c r="X40" s="76"/>
      <c r="Y40" s="76"/>
      <c r="Z40" s="76"/>
      <c r="AA40" s="157"/>
      <c r="AB40" s="155"/>
      <c r="AC40" s="156"/>
      <c r="AD40" s="83"/>
      <c r="AE40" s="155"/>
      <c r="AF40" s="76"/>
      <c r="AG40" s="76"/>
      <c r="AH40" s="76"/>
      <c r="AI40" s="76"/>
      <c r="AJ40" s="83"/>
      <c r="AK40" s="155"/>
      <c r="AL40" s="156"/>
      <c r="AM40" s="83"/>
      <c r="AN40" s="155"/>
      <c r="AO40" s="76"/>
      <c r="AP40" s="76"/>
      <c r="AQ40" s="76"/>
      <c r="AR40" s="76"/>
      <c r="AS40" s="83"/>
      <c r="AT40" s="155"/>
      <c r="AU40" s="156"/>
      <c r="AV40" s="83"/>
      <c r="AW40" s="155"/>
      <c r="AX40" s="76"/>
      <c r="AY40" s="76"/>
      <c r="AZ40" s="76"/>
      <c r="BA40" s="76"/>
      <c r="BB40" s="83"/>
      <c r="BC40" s="155"/>
      <c r="BD40" s="155"/>
    </row>
    <row r="41" spans="1:56" ht="13">
      <c r="A41" s="253"/>
      <c r="B41" s="88"/>
      <c r="C41" s="83"/>
      <c r="D41" s="155"/>
      <c r="E41" s="76"/>
      <c r="F41" s="76"/>
      <c r="G41" s="76"/>
      <c r="H41" s="76"/>
      <c r="I41" s="83"/>
      <c r="J41" s="155"/>
      <c r="K41" s="88"/>
      <c r="L41" s="83"/>
      <c r="M41" s="155"/>
      <c r="N41" s="76"/>
      <c r="O41" s="76"/>
      <c r="P41" s="76"/>
      <c r="Q41" s="76"/>
      <c r="R41" s="83"/>
      <c r="S41" s="155"/>
      <c r="T41" s="156"/>
      <c r="U41" s="83"/>
      <c r="V41" s="155"/>
      <c r="W41" s="76"/>
      <c r="X41" s="76"/>
      <c r="Y41" s="76"/>
      <c r="Z41" s="76"/>
      <c r="AA41" s="157"/>
      <c r="AB41" s="155"/>
      <c r="AC41" s="156"/>
      <c r="AD41" s="83"/>
      <c r="AE41" s="155"/>
      <c r="AF41" s="76"/>
      <c r="AG41" s="76"/>
      <c r="AH41" s="76"/>
      <c r="AI41" s="76"/>
      <c r="AJ41" s="83"/>
      <c r="AK41" s="155"/>
      <c r="AL41" s="156"/>
      <c r="AM41" s="83"/>
      <c r="AN41" s="155"/>
      <c r="AO41" s="76"/>
      <c r="AP41" s="76"/>
      <c r="AQ41" s="76"/>
      <c r="AR41" s="76"/>
      <c r="AS41" s="83"/>
      <c r="AT41" s="155"/>
      <c r="AU41" s="156"/>
      <c r="AV41" s="83"/>
      <c r="AW41" s="155"/>
      <c r="AX41" s="76"/>
      <c r="AY41" s="76"/>
      <c r="AZ41" s="76"/>
      <c r="BA41" s="76"/>
      <c r="BB41" s="83"/>
      <c r="BC41" s="155"/>
      <c r="BD41" s="155"/>
    </row>
    <row r="42" spans="1:56" ht="13">
      <c r="A42" s="253"/>
      <c r="B42" s="88"/>
      <c r="C42" s="83"/>
      <c r="D42" s="155"/>
      <c r="E42" s="76"/>
      <c r="F42" s="76"/>
      <c r="G42" s="76"/>
      <c r="H42" s="76"/>
      <c r="I42" s="83"/>
      <c r="J42" s="155"/>
      <c r="K42" s="88"/>
      <c r="L42" s="83"/>
      <c r="M42" s="155"/>
      <c r="N42" s="76"/>
      <c r="O42" s="76"/>
      <c r="P42" s="76"/>
      <c r="Q42" s="76"/>
      <c r="R42" s="83"/>
      <c r="S42" s="155"/>
      <c r="T42" s="156"/>
      <c r="U42" s="83"/>
      <c r="V42" s="155"/>
      <c r="W42" s="76"/>
      <c r="X42" s="76"/>
      <c r="Y42" s="76"/>
      <c r="Z42" s="76"/>
      <c r="AA42" s="157"/>
      <c r="AB42" s="155"/>
      <c r="AC42" s="156"/>
      <c r="AD42" s="83"/>
      <c r="AE42" s="155"/>
      <c r="AF42" s="76"/>
      <c r="AG42" s="76"/>
      <c r="AH42" s="76"/>
      <c r="AI42" s="76"/>
      <c r="AJ42" s="83"/>
      <c r="AK42" s="155"/>
      <c r="AL42" s="156"/>
      <c r="AM42" s="83"/>
      <c r="AN42" s="155"/>
      <c r="AO42" s="76"/>
      <c r="AP42" s="76"/>
      <c r="AQ42" s="76"/>
      <c r="AR42" s="76"/>
      <c r="AS42" s="83"/>
      <c r="AT42" s="155"/>
      <c r="AU42" s="156"/>
      <c r="AV42" s="83"/>
      <c r="AW42" s="155"/>
      <c r="AX42" s="76"/>
      <c r="AY42" s="76"/>
      <c r="AZ42" s="76"/>
      <c r="BA42" s="76"/>
      <c r="BB42" s="83"/>
      <c r="BC42" s="155"/>
      <c r="BD42" s="155"/>
    </row>
    <row r="43" spans="1:56" ht="13">
      <c r="A43" s="253"/>
      <c r="B43" s="88"/>
      <c r="C43" s="83"/>
      <c r="D43" s="155"/>
      <c r="E43" s="76"/>
      <c r="F43" s="76"/>
      <c r="G43" s="76"/>
      <c r="H43" s="76"/>
      <c r="I43" s="83"/>
      <c r="J43" s="155"/>
      <c r="K43" s="88"/>
      <c r="L43" s="83"/>
      <c r="M43" s="155"/>
      <c r="N43" s="76"/>
      <c r="O43" s="76"/>
      <c r="P43" s="76"/>
      <c r="Q43" s="76"/>
      <c r="R43" s="83"/>
      <c r="S43" s="155"/>
      <c r="T43" s="156"/>
      <c r="U43" s="83"/>
      <c r="V43" s="155"/>
      <c r="W43" s="76"/>
      <c r="X43" s="76"/>
      <c r="Y43" s="76"/>
      <c r="Z43" s="76"/>
      <c r="AA43" s="157"/>
      <c r="AB43" s="155"/>
      <c r="AC43" s="156"/>
      <c r="AD43" s="83"/>
      <c r="AE43" s="155"/>
      <c r="AF43" s="76"/>
      <c r="AG43" s="76"/>
      <c r="AH43" s="76"/>
      <c r="AI43" s="76"/>
      <c r="AJ43" s="83"/>
      <c r="AK43" s="155"/>
      <c r="AL43" s="156"/>
      <c r="AM43" s="83"/>
      <c r="AN43" s="155"/>
      <c r="AO43" s="76"/>
      <c r="AP43" s="76"/>
      <c r="AQ43" s="76"/>
      <c r="AR43" s="76"/>
      <c r="AS43" s="83"/>
      <c r="AT43" s="155"/>
      <c r="AU43" s="156"/>
      <c r="AV43" s="83"/>
      <c r="AW43" s="155"/>
      <c r="AX43" s="76"/>
      <c r="AY43" s="76"/>
      <c r="AZ43" s="76"/>
      <c r="BA43" s="76"/>
      <c r="BB43" s="83"/>
      <c r="BC43" s="155"/>
      <c r="BD43" s="155"/>
    </row>
    <row r="44" spans="1:56" ht="13">
      <c r="A44" s="255"/>
      <c r="B44" s="88"/>
      <c r="C44" s="83"/>
      <c r="D44" s="155"/>
      <c r="E44" s="76"/>
      <c r="F44" s="76"/>
      <c r="G44" s="76"/>
      <c r="H44" s="76"/>
      <c r="I44" s="83"/>
      <c r="J44" s="155"/>
      <c r="K44" s="88"/>
      <c r="L44" s="83"/>
      <c r="M44" s="155"/>
      <c r="N44" s="76"/>
      <c r="O44" s="76"/>
      <c r="P44" s="76"/>
      <c r="Q44" s="76"/>
      <c r="R44" s="83"/>
      <c r="S44" s="155"/>
      <c r="T44" s="156"/>
      <c r="U44" s="83"/>
      <c r="V44" s="155"/>
      <c r="W44" s="76"/>
      <c r="X44" s="76"/>
      <c r="Y44" s="76"/>
      <c r="Z44" s="76"/>
      <c r="AA44" s="157"/>
      <c r="AB44" s="155"/>
      <c r="AC44" s="156"/>
      <c r="AD44" s="83"/>
      <c r="AE44" s="155"/>
      <c r="AF44" s="76"/>
      <c r="AG44" s="76"/>
      <c r="AH44" s="76"/>
      <c r="AI44" s="76"/>
      <c r="AJ44" s="83"/>
      <c r="AK44" s="155"/>
      <c r="AL44" s="156"/>
      <c r="AM44" s="83"/>
      <c r="AN44" s="155"/>
      <c r="AO44" s="76"/>
      <c r="AP44" s="76"/>
      <c r="AQ44" s="76"/>
      <c r="AR44" s="76"/>
      <c r="AS44" s="83"/>
      <c r="AT44" s="155"/>
      <c r="AU44" s="156"/>
      <c r="AV44" s="83"/>
      <c r="AW44" s="155"/>
      <c r="AX44" s="76"/>
      <c r="AY44" s="76"/>
      <c r="AZ44" s="76"/>
      <c r="BA44" s="76"/>
      <c r="BB44" s="83"/>
      <c r="BC44" s="155"/>
      <c r="BD44" s="155"/>
    </row>
    <row r="45" spans="1:56" ht="3.75" customHeight="1">
      <c r="A45" s="158"/>
      <c r="B45" s="158"/>
      <c r="C45" s="158"/>
      <c r="D45" s="158"/>
      <c r="E45" s="158"/>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8"/>
      <c r="AY45" s="158"/>
      <c r="AZ45" s="158"/>
      <c r="BA45" s="158"/>
      <c r="BB45" s="158"/>
      <c r="BC45" s="158"/>
      <c r="BD45" s="159"/>
    </row>
    <row r="46" spans="1:56" ht="80.5">
      <c r="A46" s="259" t="s">
        <v>646</v>
      </c>
      <c r="B46" s="88">
        <f ca="1">IFERROR(__xludf.DUMMYFUNCTION("unique('K-M'!M51:U60)"),4)</f>
        <v>4</v>
      </c>
      <c r="C46" s="83" t="str">
        <f ca="1">IFERROR(__xludf.DUMMYFUNCTION("""COMPUTED_VALUE"""),"K.CC.A.1")</f>
        <v>K.CC.A.1</v>
      </c>
      <c r="D46" s="155" t="str">
        <f ca="1">IFERROR(__xludf.DUMMYFUNCTION("""COMPUTED_VALUE"""),"Count to 100 by ones and by tens.")</f>
        <v>Count to 100 by ones and by tens.</v>
      </c>
      <c r="E46" s="76" t="b">
        <f ca="1">IFERROR(__xludf.DUMMYFUNCTION("""COMPUTED_VALUE"""),TRUE)</f>
        <v>1</v>
      </c>
      <c r="F46" s="76" t="b">
        <f ca="1">IFERROR(__xludf.DUMMYFUNCTION("""COMPUTED_VALUE"""),TRUE)</f>
        <v>1</v>
      </c>
      <c r="G46" s="76" t="b">
        <f ca="1">IFERROR(__xludf.DUMMYFUNCTION("""COMPUTED_VALUE"""),TRUE)</f>
        <v>1</v>
      </c>
      <c r="H46" s="76" t="b">
        <f ca="1">IFERROR(__xludf.DUMMYFUNCTION("""COMPUTED_VALUE"""),TRUE)</f>
        <v>1</v>
      </c>
      <c r="I46" s="83"/>
      <c r="J46" s="155" t="str">
        <f ca="1">IFERROR(__xludf.DUMMYFUNCTION("""COMPUTED_VALUE"""),"R- students will need to count to 120 in 1st grade.
E- They will need to use it for multiplication later on
A- Assessed on MAP
L- they may need to count data in science by 1's or 10's
")</f>
        <v xml:space="preserve">R- students will need to count to 120 in 1st grade.
E- They will need to use it for multiplication later on
A- Assessed on MAP
L- they may need to count data in science by 1's or 10's
</v>
      </c>
      <c r="K46" s="88"/>
      <c r="L46" s="83"/>
      <c r="M46" s="155"/>
      <c r="N46" s="76"/>
      <c r="O46" s="76"/>
      <c r="P46" s="76"/>
      <c r="Q46" s="76"/>
      <c r="R46" s="83"/>
      <c r="S46" s="155"/>
      <c r="T46" s="156"/>
      <c r="U46" s="83"/>
      <c r="V46" s="155"/>
      <c r="W46" s="76"/>
      <c r="X46" s="76"/>
      <c r="Y46" s="76"/>
      <c r="Z46" s="76"/>
      <c r="AA46" s="157"/>
      <c r="AB46" s="155"/>
      <c r="AC46" s="156"/>
      <c r="AD46" s="83"/>
      <c r="AE46" s="155"/>
      <c r="AF46" s="76"/>
      <c r="AG46" s="76"/>
      <c r="AH46" s="76"/>
      <c r="AI46" s="76"/>
      <c r="AJ46" s="83"/>
      <c r="AK46" s="155"/>
      <c r="AL46" s="156"/>
      <c r="AM46" s="83"/>
      <c r="AN46" s="155"/>
      <c r="AO46" s="76"/>
      <c r="AP46" s="76"/>
      <c r="AQ46" s="76"/>
      <c r="AR46" s="76"/>
      <c r="AS46" s="83"/>
      <c r="AT46" s="155"/>
      <c r="AU46" s="156"/>
      <c r="AV46" s="83"/>
      <c r="AW46" s="155"/>
      <c r="AX46" s="76"/>
      <c r="AY46" s="76"/>
      <c r="AZ46" s="76"/>
      <c r="BA46" s="76"/>
      <c r="BB46" s="83"/>
      <c r="BC46" s="155"/>
      <c r="BD46" s="155"/>
    </row>
    <row r="47" spans="1:56" ht="13">
      <c r="A47" s="253"/>
      <c r="B47" s="88" t="str">
        <f ca="1">IFERROR(__xludf.DUMMYFUNCTION("""COMPUTED_VALUE"""),"")</f>
        <v/>
      </c>
      <c r="C47" s="83" t="str">
        <f ca="1">IFERROR(__xludf.DUMMYFUNCTION("""COMPUTED_VALUE"""),"")</f>
        <v/>
      </c>
      <c r="D47" s="155" t="str">
        <f ca="1">IFERROR(__xludf.DUMMYFUNCTION("""COMPUTED_VALUE"""),"")</f>
        <v/>
      </c>
      <c r="E47" s="76" t="str">
        <f ca="1">IFERROR(__xludf.DUMMYFUNCTION("""COMPUTED_VALUE"""),"")</f>
        <v/>
      </c>
      <c r="F47" s="76" t="str">
        <f ca="1">IFERROR(__xludf.DUMMYFUNCTION("""COMPUTED_VALUE"""),"")</f>
        <v/>
      </c>
      <c r="G47" s="76" t="str">
        <f ca="1">IFERROR(__xludf.DUMMYFUNCTION("""COMPUTED_VALUE"""),"")</f>
        <v/>
      </c>
      <c r="H47" s="76" t="str">
        <f ca="1">IFERROR(__xludf.DUMMYFUNCTION("""COMPUTED_VALUE"""),"")</f>
        <v/>
      </c>
      <c r="I47" s="83" t="str">
        <f ca="1">IFERROR(__xludf.DUMMYFUNCTION("""COMPUTED_VALUE"""),"")</f>
        <v/>
      </c>
      <c r="J47" s="155" t="str">
        <f ca="1">IFERROR(__xludf.DUMMYFUNCTION("""COMPUTED_VALUE"""),"")</f>
        <v/>
      </c>
      <c r="K47" s="88"/>
      <c r="L47" s="83"/>
      <c r="M47" s="155"/>
      <c r="N47" s="76"/>
      <c r="O47" s="76"/>
      <c r="P47" s="76"/>
      <c r="Q47" s="76"/>
      <c r="R47" s="83"/>
      <c r="S47" s="155"/>
      <c r="T47" s="156"/>
      <c r="U47" s="83"/>
      <c r="V47" s="155"/>
      <c r="W47" s="76"/>
      <c r="X47" s="76"/>
      <c r="Y47" s="76"/>
      <c r="Z47" s="76"/>
      <c r="AA47" s="157"/>
      <c r="AB47" s="155"/>
      <c r="AC47" s="156"/>
      <c r="AD47" s="83"/>
      <c r="AE47" s="155"/>
      <c r="AF47" s="76"/>
      <c r="AG47" s="76"/>
      <c r="AH47" s="76"/>
      <c r="AI47" s="76"/>
      <c r="AJ47" s="83"/>
      <c r="AK47" s="155"/>
      <c r="AL47" s="156"/>
      <c r="AM47" s="83"/>
      <c r="AN47" s="155"/>
      <c r="AO47" s="76"/>
      <c r="AP47" s="76"/>
      <c r="AQ47" s="76"/>
      <c r="AR47" s="76"/>
      <c r="AS47" s="83"/>
      <c r="AT47" s="155"/>
      <c r="AU47" s="156"/>
      <c r="AV47" s="83"/>
      <c r="AW47" s="155"/>
      <c r="AX47" s="76"/>
      <c r="AY47" s="76"/>
      <c r="AZ47" s="76"/>
      <c r="BA47" s="76"/>
      <c r="BB47" s="83"/>
      <c r="BC47" s="155"/>
      <c r="BD47" s="155"/>
    </row>
    <row r="48" spans="1:56" ht="103.5">
      <c r="A48" s="253"/>
      <c r="B48" s="88">
        <f ca="1">IFERROR(__xludf.DUMMYFUNCTION("""COMPUTED_VALUE"""),4)</f>
        <v>4</v>
      </c>
      <c r="C48" s="83" t="str">
        <f ca="1">IFERROR(__xludf.DUMMYFUNCTION("""COMPUTED_VALUE"""),"K.CC.A.3")</f>
        <v>K.CC.A.3</v>
      </c>
      <c r="D48" s="155" t="str">
        <f ca="1">IFERROR(__xludf.DUMMYFUNCTION("""COMPUTED_VALUE"""),"Write numbers from 0 to 20. Represent a number of objects with a written numeral 0–20 (with 0 representing a count of no objects).")</f>
        <v>Write numbers from 0 to 20. Represent a number of objects with a written numeral 0–20 (with 0 representing a count of no objects).</v>
      </c>
      <c r="E48" s="76" t="b">
        <f ca="1">IFERROR(__xludf.DUMMYFUNCTION("""COMPUTED_VALUE"""),TRUE)</f>
        <v>1</v>
      </c>
      <c r="F48" s="76" t="b">
        <f ca="1">IFERROR(__xludf.DUMMYFUNCTION("""COMPUTED_VALUE"""),TRUE)</f>
        <v>1</v>
      </c>
      <c r="G48" s="76" t="b">
        <f ca="1">IFERROR(__xludf.DUMMYFUNCTION("""COMPUTED_VALUE"""),TRUE)</f>
        <v>1</v>
      </c>
      <c r="H48" s="76" t="b">
        <f ca="1">IFERROR(__xludf.DUMMYFUNCTION("""COMPUTED_VALUE"""),TRUE)</f>
        <v>1</v>
      </c>
      <c r="I48" s="83"/>
      <c r="J48" s="155" t="str">
        <f ca="1">IFERROR(__xludf.DUMMYFUNCTION("""COMPUTED_VALUE"""),"R- students will write numbers further than 20 
E- writing numbers occurs in reading, science, and writing
A- recognizing numbers occurs on MAP
L- Number are everywhere, and they can use them across many subjects!")</f>
        <v>R- students will write numbers further than 20 
E- writing numbers occurs in reading, science, and writing
A- recognizing numbers occurs on MAP
L- Number are everywhere, and they can use them across many subjects!</v>
      </c>
      <c r="K48" s="88"/>
      <c r="L48" s="83"/>
      <c r="M48" s="155"/>
      <c r="N48" s="76"/>
      <c r="O48" s="76"/>
      <c r="P48" s="76"/>
      <c r="Q48" s="76"/>
      <c r="R48" s="83"/>
      <c r="S48" s="155"/>
      <c r="T48" s="156"/>
      <c r="U48" s="83"/>
      <c r="V48" s="155"/>
      <c r="W48" s="76"/>
      <c r="X48" s="76"/>
      <c r="Y48" s="76"/>
      <c r="Z48" s="76"/>
      <c r="AA48" s="157"/>
      <c r="AB48" s="155"/>
      <c r="AC48" s="156"/>
      <c r="AD48" s="83"/>
      <c r="AE48" s="155"/>
      <c r="AF48" s="76"/>
      <c r="AG48" s="76"/>
      <c r="AH48" s="76"/>
      <c r="AI48" s="76"/>
      <c r="AJ48" s="83"/>
      <c r="AK48" s="155"/>
      <c r="AL48" s="156"/>
      <c r="AM48" s="83"/>
      <c r="AN48" s="155"/>
      <c r="AO48" s="76"/>
      <c r="AP48" s="76"/>
      <c r="AQ48" s="76"/>
      <c r="AR48" s="76"/>
      <c r="AS48" s="83"/>
      <c r="AT48" s="155"/>
      <c r="AU48" s="156"/>
      <c r="AV48" s="83"/>
      <c r="AW48" s="155"/>
      <c r="AX48" s="76"/>
      <c r="AY48" s="76"/>
      <c r="AZ48" s="76"/>
      <c r="BA48" s="76"/>
      <c r="BB48" s="83"/>
      <c r="BC48" s="155"/>
      <c r="BD48" s="155"/>
    </row>
    <row r="49" spans="1:56" ht="92">
      <c r="A49" s="253"/>
      <c r="B49" s="88">
        <f ca="1">IFERROR(__xludf.DUMMYFUNCTION("""COMPUTED_VALUE"""),4)</f>
        <v>4</v>
      </c>
      <c r="C49" s="83" t="str">
        <f ca="1">IFERROR(__xludf.DUMMYFUNCTION("""COMPUTED_VALUE"""),"K.CC.B.4a")</f>
        <v>K.CC.B.4a</v>
      </c>
      <c r="D49" s="155" t="str">
        <f ca="1">IFERROR(__xludf.DUMMYFUNCTION("""COMPUTED_VALUE"""),"When counting objects, say the number names in the standard order, pairing each object with one and only one number name and each number name with one and only one object.")</f>
        <v>When counting objects, say the number names in the standard order, pairing each object with one and only one number name and each number name with one and only one object.</v>
      </c>
      <c r="E49" s="76" t="b">
        <f ca="1">IFERROR(__xludf.DUMMYFUNCTION("""COMPUTED_VALUE"""),TRUE)</f>
        <v>1</v>
      </c>
      <c r="F49" s="76" t="b">
        <f ca="1">IFERROR(__xludf.DUMMYFUNCTION("""COMPUTED_VALUE"""),TRUE)</f>
        <v>1</v>
      </c>
      <c r="G49" s="76" t="b">
        <f ca="1">IFERROR(__xludf.DUMMYFUNCTION("""COMPUTED_VALUE"""),TRUE)</f>
        <v>1</v>
      </c>
      <c r="H49" s="76" t="b">
        <f ca="1">IFERROR(__xludf.DUMMYFUNCTION("""COMPUTED_VALUE"""),TRUE)</f>
        <v>1</v>
      </c>
      <c r="I49" s="83"/>
      <c r="J49" s="155" t="str">
        <f ca="1">IFERROR(__xludf.DUMMYFUNCTION("""COMPUTED_VALUE"""),"R- students will not be able to be successful in any area of math unless they master this concept. 
E- students will be counting 1:1 during their whole math career.
A- assessed on MAP 
L- they will use this in all content areas. ")</f>
        <v xml:space="preserve">R- students will not be able to be successful in any area of math unless they master this concept. 
E- students will be counting 1:1 during their whole math career.
A- assessed on MAP 
L- they will use this in all content areas. </v>
      </c>
      <c r="K49" s="88"/>
      <c r="L49" s="83"/>
      <c r="M49" s="155"/>
      <c r="N49" s="76"/>
      <c r="O49" s="76"/>
      <c r="P49" s="76"/>
      <c r="Q49" s="76"/>
      <c r="R49" s="83"/>
      <c r="S49" s="155"/>
      <c r="T49" s="156"/>
      <c r="U49" s="83"/>
      <c r="V49" s="155"/>
      <c r="W49" s="76"/>
      <c r="X49" s="76"/>
      <c r="Y49" s="76"/>
      <c r="Z49" s="76"/>
      <c r="AA49" s="157"/>
      <c r="AB49" s="155"/>
      <c r="AC49" s="156"/>
      <c r="AD49" s="83"/>
      <c r="AE49" s="155"/>
      <c r="AF49" s="76"/>
      <c r="AG49" s="76"/>
      <c r="AH49" s="76"/>
      <c r="AI49" s="76"/>
      <c r="AJ49" s="83"/>
      <c r="AK49" s="155"/>
      <c r="AL49" s="156"/>
      <c r="AM49" s="83"/>
      <c r="AN49" s="155"/>
      <c r="AO49" s="76"/>
      <c r="AP49" s="76"/>
      <c r="AQ49" s="76"/>
      <c r="AR49" s="76"/>
      <c r="AS49" s="83"/>
      <c r="AT49" s="155"/>
      <c r="AU49" s="156"/>
      <c r="AV49" s="83"/>
      <c r="AW49" s="155"/>
      <c r="AX49" s="76"/>
      <c r="AY49" s="76"/>
      <c r="AZ49" s="76"/>
      <c r="BA49" s="76"/>
      <c r="BB49" s="83"/>
      <c r="BC49" s="155"/>
      <c r="BD49" s="155"/>
    </row>
    <row r="50" spans="1:56" ht="13">
      <c r="A50" s="255"/>
      <c r="B50" s="88"/>
      <c r="C50" s="83"/>
      <c r="D50" s="155"/>
      <c r="E50" s="76"/>
      <c r="F50" s="76"/>
      <c r="G50" s="76"/>
      <c r="H50" s="76"/>
      <c r="I50" s="83"/>
      <c r="J50" s="155"/>
      <c r="K50" s="88"/>
      <c r="L50" s="83"/>
      <c r="M50" s="155"/>
      <c r="N50" s="76"/>
      <c r="O50" s="76"/>
      <c r="P50" s="76"/>
      <c r="Q50" s="76"/>
      <c r="R50" s="83"/>
      <c r="S50" s="155"/>
      <c r="T50" s="156"/>
      <c r="U50" s="83"/>
      <c r="V50" s="155"/>
      <c r="W50" s="76"/>
      <c r="X50" s="76"/>
      <c r="Y50" s="76"/>
      <c r="Z50" s="76"/>
      <c r="AA50" s="157"/>
      <c r="AB50" s="155"/>
      <c r="AC50" s="156"/>
      <c r="AD50" s="83"/>
      <c r="AE50" s="155"/>
      <c r="AF50" s="76"/>
      <c r="AG50" s="76"/>
      <c r="AH50" s="76"/>
      <c r="AI50" s="76"/>
      <c r="AJ50" s="83"/>
      <c r="AK50" s="155"/>
      <c r="AL50" s="156"/>
      <c r="AM50" s="83"/>
      <c r="AN50" s="155"/>
      <c r="AO50" s="76"/>
      <c r="AP50" s="76"/>
      <c r="AQ50" s="76"/>
      <c r="AR50" s="76"/>
      <c r="AS50" s="83"/>
      <c r="AT50" s="155"/>
      <c r="AU50" s="156"/>
      <c r="AV50" s="83"/>
      <c r="AW50" s="155"/>
      <c r="AX50" s="76"/>
      <c r="AY50" s="76"/>
      <c r="AZ50" s="76"/>
      <c r="BA50" s="76"/>
      <c r="BB50" s="83"/>
      <c r="BC50" s="155"/>
      <c r="BD50" s="155"/>
    </row>
    <row r="51" spans="1:56" ht="3.75" customHeight="1">
      <c r="A51" s="158"/>
      <c r="B51" s="163" t="s">
        <v>647</v>
      </c>
      <c r="C51" s="164"/>
      <c r="D51" s="164"/>
      <c r="E51" s="164"/>
      <c r="F51" s="164"/>
      <c r="G51" s="164"/>
      <c r="H51" s="164"/>
      <c r="I51" s="164"/>
      <c r="J51" s="165"/>
      <c r="K51" s="164"/>
      <c r="L51" s="164"/>
      <c r="M51" s="164"/>
      <c r="N51" s="164"/>
      <c r="O51" s="164"/>
      <c r="P51" s="164"/>
      <c r="Q51" s="164"/>
      <c r="R51" s="164"/>
      <c r="S51" s="164"/>
      <c r="T51" s="166"/>
      <c r="U51" s="164"/>
      <c r="V51" s="164"/>
      <c r="W51" s="164"/>
      <c r="X51" s="164"/>
      <c r="Y51" s="164"/>
      <c r="Z51" s="164"/>
      <c r="AA51" s="167"/>
      <c r="AB51" s="164"/>
      <c r="AC51" s="164"/>
      <c r="AD51" s="164"/>
      <c r="AE51" s="164"/>
      <c r="AF51" s="164"/>
      <c r="AG51" s="164"/>
      <c r="AH51" s="164"/>
      <c r="AI51" s="164"/>
      <c r="AJ51" s="164"/>
      <c r="AK51" s="164"/>
      <c r="AL51" s="168"/>
      <c r="AM51" s="164"/>
      <c r="AN51" s="164"/>
      <c r="AO51" s="164"/>
      <c r="AP51" s="164"/>
      <c r="AQ51" s="164"/>
      <c r="AR51" s="164"/>
      <c r="AS51" s="164"/>
      <c r="AT51" s="164"/>
      <c r="AU51" s="168"/>
      <c r="AV51" s="164"/>
      <c r="AW51" s="164"/>
      <c r="AX51" s="164"/>
      <c r="AY51" s="164"/>
      <c r="AZ51" s="164"/>
      <c r="BA51" s="164"/>
      <c r="BB51" s="164"/>
      <c r="BC51" s="164"/>
      <c r="BD51" s="164"/>
    </row>
  </sheetData>
  <mergeCells count="13">
    <mergeCell ref="AL2:AT2"/>
    <mergeCell ref="AU2:BC2"/>
    <mergeCell ref="A4:A10"/>
    <mergeCell ref="A46:A50"/>
    <mergeCell ref="B2:J2"/>
    <mergeCell ref="K2:S2"/>
    <mergeCell ref="T2:AB2"/>
    <mergeCell ref="AC2:AK2"/>
    <mergeCell ref="A12:A17"/>
    <mergeCell ref="A19:A24"/>
    <mergeCell ref="A26:A30"/>
    <mergeCell ref="A32:A37"/>
    <mergeCell ref="A39:A44"/>
  </mergeCells>
  <conditionalFormatting sqref="B4:B10 K4:K10 T4:T10 AC4:AC10 AL4:AL10 AU4:AU10 B12:B17 K12:K17 T12:T17 AC12:AC17 AL12:AL17 AU12:AU17 B19:B24 K19:K24 T19:T24 AC19:AC24 AL19:AL24 AU19:AU24 B26:B30 K26:K30 T26:T30 AC26:AC30 AL26:AL30 AU26:AU30 B32:B37 K32:K37 T32:T37 AC32:AC37 AL32:AL37 AU32:AU37 B39:B44 K39:K44 T39:T44 AC39:AC44 AL39:AL44 AU39:AU44 B46:B51 K46:K50 T46:T50 AC46:AC50 AL46:AL50 AU46:AU50">
    <cfRule type="cellIs" dxfId="9" priority="1" operator="equal">
      <formula>0</formula>
    </cfRule>
  </conditionalFormatting>
  <conditionalFormatting sqref="B4:B10 K4:K10 T4:T10 AC4:AC10 AL4:AL10 AU4:AU10 B12:B17 K12:K17 T12:T17 AC12:AC17 AL12:AL17 AU12:AU17 B19:B24 K19:K24 T19:T24 AC19:AC24 AL19:AL24 AU19:AU24 B26:B30 K26:K30 T26:T30 AC26:AC30 AL26:AL30 AU26:AU30 B32:B37 K32:K37 T32:T37 AC32:AC37 AL32:AL37 AU32:AU37 B39:B44 K39:K44 T39:T44 AC39:AC44 AL39:AL44 AU39:AU44 B46:B51 K46:K50 T46:T50 AC46:AC50 AL46:AL50 AU46:AU50">
    <cfRule type="cellIs" dxfId="8" priority="2" operator="equal">
      <formula>1</formula>
    </cfRule>
  </conditionalFormatting>
  <conditionalFormatting sqref="B4:B10 K4:K10 T4:T10 AC4:AC10 AL4:AL10 AU4:AU10 B12:B17 K12:K17 T12:T17 AC12:AC17 AL12:AL17 AU12:AU17 B19:B24 K19:K24 T19:T24 AC19:AC24 AL19:AL24 AU19:AU24 B26:B30 K26:K30 T26:T30 AC26:AC30 AL26:AL30 AU26:AU30 B32:B37 K32:K37 T32:T37 AC32:AC37 AL32:AL37 AU32:AU37 B39:B44 K39:K44 T39:T44 AC39:AC44 AL39:AL44 AU39:AU44 B46:B51 K46:K50 T46:T50 AC46:AC50 AL46:AL50 AU46:AU50">
    <cfRule type="cellIs" dxfId="7" priority="3" operator="equal">
      <formula>2</formula>
    </cfRule>
  </conditionalFormatting>
  <conditionalFormatting sqref="B4:B10 K4:K10 T4:T10 AC4:AC10 AL4:AL10 AU4:AU10 B12:B17 K12:K17 T12:T17 AC12:AC17 AL12:AL17 AU12:AU17 B19:B24 K19:K24 T19:T24 AC19:AC24 AL19:AL24 AU19:AU24 B26:B30 K26:K30 T26:T30 AC26:AC30 AL26:AL30 AU26:AU30 B32:B37 K32:K37 T32:T37 AC32:AC37 AL32:AL37 AU32:AU37 B39:B44 K39:K44 T39:T44 AC39:AC44 AL39:AL44 AU39:AU44 B46:B51 K46:K50 T46:T50 AC46:AC50 AL46:AL50 AU46:AU50">
    <cfRule type="cellIs" dxfId="6" priority="4" operator="equal">
      <formula>3</formula>
    </cfRule>
  </conditionalFormatting>
  <conditionalFormatting sqref="B4:B10 K4:K10 T4:T10 AC4:AC10 AL4:AL10 AU4:AU10 B12:B17 K12:K17 T12:T17 AC12:AC17 AL12:AL17 AU12:AU17 B19:B24 K19:K24 T19:T24 AC19:AC24 AL19:AL24 AU19:AU24 B26:B30 K26:K30 T26:T30 AC26:AC30 AL26:AL30 AU26:AU30 B32:B37 K32:K37 T32:T37 AC32:AC37 AL32:AL37 AU32:AU37 B39:B44 K39:K44 T39:T44 AC39:AC44 AL39:AL44 AU39:AU44 B46:B51 K46:K50 T46:T50 AC46:AC50 AL46:AL50 AU46:AU50">
    <cfRule type="cellIs" dxfId="5" priority="5" operator="equal">
      <formula>4</formula>
    </cfRule>
  </conditionalFormatting>
  <conditionalFormatting sqref="E4:H10 N4:Q10 W4:Z10 AF4:AI10 AO4:AR10 AX4:BA10 E12:H17 N12:Q17 W12:Z17 AF12:AI17 AO12:AR17 AX12:BA17 E19:H24 N19:Q24 W19:Z24 AF19:AI24 AO19:AR24 AX19:BA24 E26:H30 N26:Q30 W26:Z30 AF26:AI30 AO26:AR30 AX26:BA30 E32:H37 N32:Q37 W32:Z37 AF32:AI37 AO32:AR37 AX32:BA37 E39:H44 N39:Q44 W39:Z44 AF39:AI44 AO39:AR44 AX39:BA44 E46:H50 N46:Q50 W46:Z50 AF46:AI50 AO46:AR50 AX46:BA50">
    <cfRule type="cellIs" dxfId="4" priority="6" operator="equal">
      <formula>"TRUE"</formula>
    </cfRule>
  </conditionalFormatting>
  <conditionalFormatting sqref="E4:H10 N4:Q10 W4:Z10 AF4:AI10 AO4:AR10 AX4:BA10 E12:H17 N12:Q17 W12:Z17 AF12:AI17 AO12:AR17 AX12:BA17 E19:H24 N19:Q24 W19:Z24 AF19:AI24 AO19:AR24 AX19:BA24 E26:H30 N26:Q30 W26:Z30 AF26:AI30 AO26:AR30 AX26:BA30 E32:H37 N32:Q37 W32:Z37 AF32:AI37 AO32:AR37 AX32:BA37 E39:H44 N39:Q44 W39:Z44 AF39:AI44 AO39:AR44 AX39:BA44 E46:H50 N46:Q50 W46:Z50 AF46:AI50 AO46:AR50 AX46:BA50">
    <cfRule type="cellIs" dxfId="3" priority="7" operator="equal">
      <formula>"FALSE"</formula>
    </cfRule>
  </conditionalFormatting>
  <conditionalFormatting sqref="E4:H10 N4:Q10 W4:Z10 AF4:AI10 AO4:AR10 AX4:BA10 E12:H17 N12:Q17 W12:Z17 AF12:AI17 AO12:AR17 AX12:BA17 E19:H24 N19:Q24 W19:Z24 AF19:AI24 AO19:AR24 AX19:BA24 E26:H30 N26:Q30 W26:Z30 AF26:AI30 AO26:AR30 AX26:BA30 E32:H37 N32:Q37 W32:Z37 AF32:AI37 AO32:AR37 AX32:BA37 E39:H44 N39:Q44 W39:Z44 AF39:AI44 AO39:AR44 AX39:BA44 E46:H50 N46:Q50 W46:Z50 AF46:AI50 AO46:AR50 AX46:BA50">
    <cfRule type="containsBlanks" dxfId="2" priority="8">
      <formula>LEN(TRIM(E4))=0</formula>
    </cfRule>
  </conditionalFormatting>
  <conditionalFormatting sqref="B4:B10 K4:K10 T4:T10 AC4:AC10 AL4:AL10 AU4:AU10 B12:B17 K12:K17 T12:T17 AC12:AC17 AL12:AL17 AU12:AU17 B19:B24 K19:K24 T19:T24 AC19:AC24 AL19:AL24 AU19:AU24 B26:B30 K26:K30 T26:T30 AC26:AC30 AL26:AL30 AU26:AU30 B32:B37 K32:K37 T32:T37 AC32:AC37 AL32:AL37 AU32:AU37 B39:B44 K39:K44 T39:T44 AC39:AC44 AL39:AL44 AU39:AU44 B46:B51 K46:K50 T46:T50 AC46:AC50 AL46:AL50 AU46:AU50">
    <cfRule type="containsBlanks" dxfId="1" priority="9">
      <formula>LEN(TRIM(B4))=0</formula>
    </cfRule>
  </conditionalFormatting>
  <conditionalFormatting sqref="B4:B10 K4:K10 T4:T10 AC4:AC10 AL4:AL10 AU4:AU10 B12:B17 K12:K17 T12:T17 AC12:AC17 AL12:AL17 AU12:AU17 B19:B24 K19:K24 T19:T24 AC19:AC24 AL19:AL24 AU19:AU24 B26:B30 K26:K30 T26:T30 AC26:AC30 AL26:AL30 AU26:AU30 B32:B37 K32:K37 T32:T37 AC32:AC37 AL32:AL37 AU32:AU37 B39:B44 K39:K44 T39:T44 AC39:AC44 AL39:AL44 AU39:AU44 B46:B51 K46:K50 T46:T50 AC46:AC50 AL46:AL50 AU46:AU50">
    <cfRule type="cellIs" dxfId="0" priority="10" operator="equal">
      <formula>"m"</formula>
    </cfRule>
  </conditionalFormatting>
  <printOptions horizontalCentered="1" gridLines="1"/>
  <pageMargins left="0.7" right="0.7" top="0.75" bottom="0.75" header="0" footer="0"/>
  <pageSetup fitToHeight="0" pageOrder="overThenDown" orientation="landscape" cellComments="atEnd"/>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1:Y47"/>
  <sheetViews>
    <sheetView workbookViewId="0">
      <pane ySplit="2" topLeftCell="A3" activePane="bottomLeft" state="frozen"/>
      <selection pane="bottomLeft" activeCell="B4" sqref="B4"/>
    </sheetView>
  </sheetViews>
  <sheetFormatPr defaultColWidth="12.6328125" defaultRowHeight="15.75" customHeight="1"/>
  <cols>
    <col min="1" max="1" width="11" customWidth="1"/>
    <col min="2" max="2" width="2.6328125" customWidth="1"/>
    <col min="3" max="3" width="7.6328125" customWidth="1"/>
    <col min="5" max="5" width="2.6328125" customWidth="1"/>
    <col min="6" max="6" width="7.6328125" customWidth="1"/>
    <col min="8" max="8" width="2.6328125" customWidth="1"/>
    <col min="9" max="9" width="7.6328125" customWidth="1"/>
    <col min="10" max="10" width="12.453125" customWidth="1"/>
    <col min="11" max="11" width="2.6328125" customWidth="1"/>
    <col min="12" max="12" width="7.6328125" customWidth="1"/>
    <col min="14" max="14" width="2.6328125" customWidth="1"/>
    <col min="15" max="15" width="7.6328125" customWidth="1"/>
    <col min="17" max="17" width="2.6328125" customWidth="1"/>
    <col min="18" max="18" width="7.6328125" customWidth="1"/>
    <col min="20" max="20" width="2.6328125" customWidth="1"/>
    <col min="21" max="21" width="7.6328125" customWidth="1"/>
    <col min="23" max="23" width="2.6328125" customWidth="1"/>
    <col min="24" max="24" width="7.6328125" customWidth="1"/>
  </cols>
  <sheetData>
    <row r="1" spans="1:25" ht="15.75" customHeight="1">
      <c r="A1" s="112"/>
      <c r="B1" s="169"/>
      <c r="C1" s="272" t="s">
        <v>648</v>
      </c>
      <c r="D1" s="273"/>
      <c r="E1" s="170"/>
      <c r="F1" s="272" t="s">
        <v>649</v>
      </c>
      <c r="G1" s="273"/>
      <c r="H1" s="171"/>
      <c r="I1" s="272" t="s">
        <v>650</v>
      </c>
      <c r="J1" s="273"/>
      <c r="K1" s="118"/>
      <c r="L1" s="118"/>
      <c r="M1" s="118"/>
      <c r="N1" s="118"/>
      <c r="O1" s="118"/>
      <c r="P1" s="118"/>
      <c r="Q1" s="118"/>
      <c r="R1" s="118"/>
      <c r="S1" s="118"/>
      <c r="T1" s="118"/>
      <c r="U1" s="118"/>
      <c r="V1" s="118"/>
      <c r="W1" s="118"/>
      <c r="X1" s="118"/>
      <c r="Y1" s="118"/>
    </row>
    <row r="2" spans="1:25" ht="15.75" customHeight="1">
      <c r="A2" s="118"/>
      <c r="B2" s="264" t="str">
        <f>HYPERLINK("https://achievethecore.org/file/1256","Kindergarten")</f>
        <v>Kindergarten</v>
      </c>
      <c r="C2" s="265"/>
      <c r="D2" s="265"/>
      <c r="E2" s="264" t="str">
        <f>HYPERLINK("https://achievethecore.org/file/1257","First Grade")</f>
        <v>First Grade</v>
      </c>
      <c r="F2" s="265"/>
      <c r="G2" s="266"/>
      <c r="H2" s="264" t="str">
        <f>HYPERLINK("https://achievethecore.org/file/1258","Second Grade")</f>
        <v>Second Grade</v>
      </c>
      <c r="I2" s="265"/>
      <c r="J2" s="266"/>
      <c r="K2" s="264" t="str">
        <f>HYPERLINK("https://achievethecore.org/file/1259","Third Grade")</f>
        <v>Third Grade</v>
      </c>
      <c r="L2" s="265"/>
      <c r="M2" s="266"/>
      <c r="N2" s="264" t="str">
        <f>HYPERLINK("https://achievethecore.org/file/1260","Fourth Grade")</f>
        <v>Fourth Grade</v>
      </c>
      <c r="O2" s="265"/>
      <c r="P2" s="266"/>
      <c r="Q2" s="264" t="str">
        <f>HYPERLINK("https://achievethecore.org/file/1261","Fifth Grade")</f>
        <v>Fifth Grade</v>
      </c>
      <c r="R2" s="265"/>
      <c r="S2" s="266"/>
      <c r="T2" s="264" t="str">
        <f>HYPERLINK("https://achievethecore.org/file/1262","Sixth Grade")</f>
        <v>Sixth Grade</v>
      </c>
      <c r="U2" s="265"/>
      <c r="V2" s="266"/>
      <c r="W2" s="267" t="str">
        <f>HYPERLINK("https://achievethecore.org/content/upload/SAP_Focus_Math_7.pdf","Seventh Grade")</f>
        <v>Seventh Grade</v>
      </c>
      <c r="X2" s="265"/>
      <c r="Y2" s="266"/>
    </row>
    <row r="3" spans="1:25" ht="15.75" customHeight="1">
      <c r="A3" s="259" t="s">
        <v>646</v>
      </c>
      <c r="B3" s="172" t="s">
        <v>647</v>
      </c>
      <c r="C3" s="173" t="s">
        <v>651</v>
      </c>
      <c r="D3" s="174" t="s">
        <v>69</v>
      </c>
      <c r="E3" s="175"/>
      <c r="F3" s="176"/>
      <c r="G3" s="177"/>
      <c r="H3" s="175"/>
      <c r="I3" s="176"/>
      <c r="J3" s="177"/>
      <c r="K3" s="175"/>
      <c r="L3" s="176"/>
      <c r="M3" s="177"/>
      <c r="N3" s="175"/>
      <c r="O3" s="176"/>
      <c r="P3" s="177"/>
      <c r="Q3" s="175"/>
      <c r="R3" s="176"/>
      <c r="S3" s="177"/>
      <c r="T3" s="175"/>
      <c r="U3" s="176"/>
      <c r="V3" s="177"/>
      <c r="W3" s="176"/>
      <c r="X3" s="176"/>
      <c r="Y3" s="177"/>
    </row>
    <row r="4" spans="1:25" ht="15.75" customHeight="1">
      <c r="A4" s="253"/>
      <c r="B4" s="172" t="s">
        <v>647</v>
      </c>
      <c r="C4" s="173" t="s">
        <v>652</v>
      </c>
      <c r="D4" s="174" t="s">
        <v>79</v>
      </c>
      <c r="E4" s="175"/>
      <c r="F4" s="176"/>
      <c r="G4" s="177"/>
      <c r="H4" s="175"/>
      <c r="I4" s="176"/>
      <c r="J4" s="177"/>
      <c r="K4" s="175"/>
      <c r="L4" s="176"/>
      <c r="M4" s="177"/>
      <c r="N4" s="175"/>
      <c r="O4" s="176"/>
      <c r="P4" s="177"/>
      <c r="Q4" s="175"/>
      <c r="R4" s="176"/>
      <c r="S4" s="177"/>
      <c r="T4" s="175"/>
      <c r="U4" s="176"/>
      <c r="V4" s="177"/>
      <c r="W4" s="176"/>
      <c r="X4" s="176"/>
      <c r="Y4" s="177"/>
    </row>
    <row r="5" spans="1:25" ht="15.75" customHeight="1">
      <c r="A5" s="255"/>
      <c r="B5" s="172" t="s">
        <v>647</v>
      </c>
      <c r="C5" s="173" t="s">
        <v>653</v>
      </c>
      <c r="D5" s="174" t="s">
        <v>95</v>
      </c>
      <c r="E5" s="175"/>
      <c r="F5" s="176"/>
      <c r="G5" s="177"/>
      <c r="H5" s="175"/>
      <c r="I5" s="176"/>
      <c r="J5" s="177"/>
      <c r="K5" s="175"/>
      <c r="L5" s="176"/>
      <c r="M5" s="177"/>
      <c r="N5" s="175"/>
      <c r="O5" s="176"/>
      <c r="P5" s="177"/>
      <c r="Q5" s="175"/>
      <c r="R5" s="176"/>
      <c r="S5" s="177"/>
      <c r="T5" s="175"/>
      <c r="U5" s="176"/>
      <c r="V5" s="177"/>
      <c r="W5" s="176"/>
      <c r="X5" s="176"/>
      <c r="Y5" s="177"/>
    </row>
    <row r="6" spans="1:25" ht="15.75" customHeight="1">
      <c r="A6" s="178"/>
      <c r="B6" s="179"/>
      <c r="C6" s="180"/>
      <c r="D6" s="181"/>
      <c r="E6" s="182"/>
      <c r="F6" s="36"/>
      <c r="G6" s="183"/>
      <c r="H6" s="182"/>
      <c r="I6" s="36"/>
      <c r="J6" s="183"/>
      <c r="K6" s="182"/>
      <c r="L6" s="36"/>
      <c r="M6" s="183"/>
      <c r="N6" s="182"/>
      <c r="O6" s="36"/>
      <c r="P6" s="183"/>
      <c r="Q6" s="182"/>
      <c r="R6" s="36"/>
      <c r="S6" s="183"/>
      <c r="T6" s="182"/>
      <c r="U6" s="180"/>
      <c r="V6" s="181"/>
      <c r="W6" s="36"/>
      <c r="X6" s="180"/>
      <c r="Y6" s="181"/>
    </row>
    <row r="7" spans="1:25" ht="15.75" customHeight="1">
      <c r="A7" s="263" t="s">
        <v>18</v>
      </c>
      <c r="B7" s="172" t="s">
        <v>647</v>
      </c>
      <c r="C7" s="173" t="s">
        <v>654</v>
      </c>
      <c r="D7" s="174" t="s">
        <v>19</v>
      </c>
      <c r="E7" s="172" t="s">
        <v>647</v>
      </c>
      <c r="F7" s="173" t="s">
        <v>655</v>
      </c>
      <c r="G7" s="174" t="s">
        <v>656</v>
      </c>
      <c r="H7" s="175"/>
      <c r="I7" s="176"/>
      <c r="J7" s="177"/>
      <c r="K7" s="175"/>
      <c r="L7" s="176"/>
      <c r="M7" s="177"/>
      <c r="N7" s="175"/>
      <c r="O7" s="176"/>
      <c r="P7" s="177"/>
      <c r="Q7" s="175"/>
      <c r="R7" s="176"/>
      <c r="S7" s="177"/>
      <c r="T7" s="175"/>
      <c r="U7" s="176"/>
      <c r="V7" s="177"/>
      <c r="W7" s="176"/>
      <c r="X7" s="176"/>
      <c r="Y7" s="177"/>
    </row>
    <row r="8" spans="1:25" ht="15.75" customHeight="1">
      <c r="A8" s="253"/>
      <c r="B8" s="175"/>
      <c r="C8" s="176"/>
      <c r="D8" s="177"/>
      <c r="E8" s="172" t="s">
        <v>647</v>
      </c>
      <c r="F8" s="173" t="s">
        <v>657</v>
      </c>
      <c r="G8" s="174" t="s">
        <v>114</v>
      </c>
      <c r="H8" s="172" t="s">
        <v>647</v>
      </c>
      <c r="I8" s="173" t="s">
        <v>658</v>
      </c>
      <c r="J8" s="174" t="s">
        <v>114</v>
      </c>
      <c r="K8" s="175"/>
      <c r="L8" s="176"/>
      <c r="M8" s="177"/>
      <c r="N8" s="172" t="s">
        <v>647</v>
      </c>
      <c r="O8" s="173" t="s">
        <v>659</v>
      </c>
      <c r="P8" s="174" t="s">
        <v>398</v>
      </c>
      <c r="Q8" s="172" t="s">
        <v>647</v>
      </c>
      <c r="R8" s="173" t="s">
        <v>660</v>
      </c>
      <c r="S8" s="174" t="s">
        <v>661</v>
      </c>
      <c r="T8" s="172" t="s">
        <v>647</v>
      </c>
      <c r="U8" s="173" t="s">
        <v>662</v>
      </c>
      <c r="V8" s="174" t="s">
        <v>663</v>
      </c>
      <c r="W8" s="176"/>
      <c r="X8" s="176"/>
      <c r="Y8" s="177"/>
    </row>
    <row r="9" spans="1:25" ht="15.75" customHeight="1">
      <c r="A9" s="255"/>
      <c r="B9" s="184"/>
      <c r="C9" s="185"/>
      <c r="D9" s="186"/>
      <c r="E9" s="172" t="s">
        <v>647</v>
      </c>
      <c r="F9" s="173" t="s">
        <v>664</v>
      </c>
      <c r="G9" s="174" t="s">
        <v>130</v>
      </c>
      <c r="H9" s="172" t="s">
        <v>647</v>
      </c>
      <c r="I9" s="173" t="s">
        <v>665</v>
      </c>
      <c r="J9" s="174" t="s">
        <v>130</v>
      </c>
      <c r="K9" s="187" t="s">
        <v>666</v>
      </c>
      <c r="L9" s="173" t="s">
        <v>667</v>
      </c>
      <c r="M9" s="174" t="s">
        <v>269</v>
      </c>
      <c r="N9" s="172" t="s">
        <v>647</v>
      </c>
      <c r="O9" s="173" t="s">
        <v>668</v>
      </c>
      <c r="P9" s="174" t="s">
        <v>269</v>
      </c>
      <c r="Q9" s="172" t="s">
        <v>647</v>
      </c>
      <c r="R9" s="173" t="s">
        <v>669</v>
      </c>
      <c r="S9" s="174" t="s">
        <v>530</v>
      </c>
      <c r="T9" s="187" t="s">
        <v>666</v>
      </c>
      <c r="U9" s="188" t="s">
        <v>670</v>
      </c>
      <c r="V9" s="189" t="s">
        <v>671</v>
      </c>
      <c r="W9" s="176"/>
      <c r="X9" s="176"/>
      <c r="Y9" s="177"/>
    </row>
    <row r="10" spans="1:25" ht="15.75" customHeight="1">
      <c r="A10" s="178"/>
      <c r="B10" s="179"/>
      <c r="C10" s="180"/>
      <c r="D10" s="181"/>
      <c r="E10" s="179"/>
      <c r="F10" s="180"/>
      <c r="G10" s="181"/>
      <c r="H10" s="179"/>
      <c r="I10" s="180"/>
      <c r="J10" s="181"/>
      <c r="K10" s="179"/>
      <c r="L10" s="180"/>
      <c r="M10" s="181"/>
      <c r="N10" s="179"/>
      <c r="O10" s="180"/>
      <c r="P10" s="181"/>
      <c r="Q10" s="179"/>
      <c r="R10" s="180"/>
      <c r="S10" s="181"/>
      <c r="T10" s="179"/>
      <c r="U10" s="180"/>
      <c r="V10" s="181"/>
      <c r="W10" s="180"/>
      <c r="X10" s="180"/>
      <c r="Y10" s="181"/>
    </row>
    <row r="11" spans="1:25" ht="15.75" customHeight="1">
      <c r="A11" s="252" t="s">
        <v>23</v>
      </c>
      <c r="B11" s="172" t="s">
        <v>647</v>
      </c>
      <c r="C11" s="173" t="s">
        <v>672</v>
      </c>
      <c r="D11" s="174" t="s">
        <v>673</v>
      </c>
      <c r="E11" s="172" t="s">
        <v>647</v>
      </c>
      <c r="F11" s="173" t="s">
        <v>674</v>
      </c>
      <c r="G11" s="174" t="s">
        <v>146</v>
      </c>
      <c r="H11" s="175"/>
      <c r="I11" s="176"/>
      <c r="J11" s="177"/>
      <c r="K11" s="172" t="s">
        <v>647</v>
      </c>
      <c r="L11" s="173" t="s">
        <v>675</v>
      </c>
      <c r="M11" s="174" t="s">
        <v>301</v>
      </c>
      <c r="N11" s="175"/>
      <c r="O11" s="176"/>
      <c r="P11" s="177"/>
      <c r="Q11" s="175"/>
      <c r="R11" s="176"/>
      <c r="S11" s="177"/>
      <c r="T11" s="175"/>
      <c r="U11" s="176"/>
      <c r="V11" s="177"/>
      <c r="W11" s="176"/>
      <c r="X11" s="176"/>
      <c r="Y11" s="177"/>
    </row>
    <row r="12" spans="1:25" ht="15.75" customHeight="1">
      <c r="A12" s="253"/>
      <c r="B12" s="175"/>
      <c r="C12" s="176"/>
      <c r="D12" s="177"/>
      <c r="E12" s="172" t="s">
        <v>647</v>
      </c>
      <c r="F12" s="173" t="s">
        <v>676</v>
      </c>
      <c r="G12" s="174" t="s">
        <v>140</v>
      </c>
      <c r="H12" s="172" t="s">
        <v>647</v>
      </c>
      <c r="I12" s="173" t="s">
        <v>677</v>
      </c>
      <c r="J12" s="174" t="s">
        <v>140</v>
      </c>
      <c r="K12" s="172" t="s">
        <v>647</v>
      </c>
      <c r="L12" s="173" t="s">
        <v>678</v>
      </c>
      <c r="M12" s="174" t="s">
        <v>288</v>
      </c>
      <c r="N12" s="175"/>
      <c r="O12" s="176"/>
      <c r="P12" s="177"/>
      <c r="Q12" s="175"/>
      <c r="R12" s="176"/>
      <c r="S12" s="177"/>
      <c r="T12" s="175"/>
      <c r="U12" s="176"/>
      <c r="V12" s="177"/>
      <c r="W12" s="176"/>
      <c r="X12" s="176"/>
      <c r="Y12" s="177"/>
    </row>
    <row r="13" spans="1:25" ht="15.75" customHeight="1">
      <c r="A13" s="253"/>
      <c r="B13" s="175"/>
      <c r="C13" s="176"/>
      <c r="D13" s="177"/>
      <c r="E13" s="172" t="s">
        <v>647</v>
      </c>
      <c r="F13" s="173" t="s">
        <v>679</v>
      </c>
      <c r="G13" s="174" t="s">
        <v>153</v>
      </c>
      <c r="H13" s="172" t="s">
        <v>647</v>
      </c>
      <c r="I13" s="173" t="s">
        <v>680</v>
      </c>
      <c r="J13" s="174" t="s">
        <v>153</v>
      </c>
      <c r="K13" s="172" t="s">
        <v>647</v>
      </c>
      <c r="L13" s="173" t="s">
        <v>681</v>
      </c>
      <c r="M13" s="174" t="s">
        <v>308</v>
      </c>
      <c r="N13" s="175"/>
      <c r="O13" s="176"/>
      <c r="P13" s="177"/>
      <c r="Q13" s="175"/>
      <c r="R13" s="176"/>
      <c r="S13" s="177"/>
      <c r="T13" s="175"/>
      <c r="U13" s="176"/>
      <c r="V13" s="177"/>
      <c r="W13" s="176"/>
      <c r="X13" s="176"/>
      <c r="Y13" s="177"/>
    </row>
    <row r="14" spans="1:25" ht="15.75" customHeight="1">
      <c r="A14" s="253"/>
      <c r="B14" s="175"/>
      <c r="C14" s="176"/>
      <c r="D14" s="177"/>
      <c r="E14" s="172" t="s">
        <v>647</v>
      </c>
      <c r="F14" s="173" t="s">
        <v>682</v>
      </c>
      <c r="G14" s="174" t="s">
        <v>160</v>
      </c>
      <c r="H14" s="175"/>
      <c r="I14" s="176"/>
      <c r="J14" s="177"/>
      <c r="K14" s="175"/>
      <c r="L14" s="176"/>
      <c r="M14" s="177"/>
      <c r="N14" s="175"/>
      <c r="O14" s="176"/>
      <c r="P14" s="177"/>
      <c r="Q14" s="175"/>
      <c r="R14" s="176"/>
      <c r="S14" s="177"/>
      <c r="T14" s="175"/>
      <c r="U14" s="176"/>
      <c r="V14" s="177"/>
      <c r="W14" s="176"/>
      <c r="X14" s="176"/>
      <c r="Y14" s="177"/>
    </row>
    <row r="15" spans="1:25" ht="15.75" customHeight="1">
      <c r="A15" s="253"/>
      <c r="B15" s="175"/>
      <c r="C15" s="176"/>
      <c r="D15" s="177"/>
      <c r="E15" s="175"/>
      <c r="F15" s="176"/>
      <c r="G15" s="177"/>
      <c r="H15" s="190" t="s">
        <v>683</v>
      </c>
      <c r="I15" s="173" t="s">
        <v>684</v>
      </c>
      <c r="J15" s="174" t="s">
        <v>228</v>
      </c>
      <c r="K15" s="175"/>
      <c r="L15" s="176"/>
      <c r="M15" s="177"/>
      <c r="N15" s="190" t="s">
        <v>683</v>
      </c>
      <c r="O15" s="173" t="s">
        <v>685</v>
      </c>
      <c r="P15" s="174" t="s">
        <v>430</v>
      </c>
      <c r="Q15" s="175"/>
      <c r="R15" s="176"/>
      <c r="S15" s="177"/>
      <c r="T15" s="175"/>
      <c r="U15" s="176"/>
      <c r="V15" s="177"/>
      <c r="W15" s="176"/>
      <c r="X15" s="176"/>
      <c r="Y15" s="177"/>
    </row>
    <row r="16" spans="1:25" ht="15.75" customHeight="1">
      <c r="A16" s="253"/>
      <c r="B16" s="175"/>
      <c r="C16" s="176"/>
      <c r="D16" s="177"/>
      <c r="E16" s="175"/>
      <c r="F16" s="176"/>
      <c r="G16" s="177"/>
      <c r="H16" s="175"/>
      <c r="I16" s="176"/>
      <c r="J16" s="177"/>
      <c r="K16" s="172" t="s">
        <v>647</v>
      </c>
      <c r="L16" s="173" t="s">
        <v>686</v>
      </c>
      <c r="M16" s="174" t="s">
        <v>312</v>
      </c>
      <c r="N16" s="172" t="s">
        <v>647</v>
      </c>
      <c r="O16" s="173" t="s">
        <v>687</v>
      </c>
      <c r="P16" s="174" t="s">
        <v>420</v>
      </c>
      <c r="Q16" s="175"/>
      <c r="R16" s="176"/>
      <c r="S16" s="177"/>
      <c r="T16" s="175"/>
      <c r="U16" s="176"/>
      <c r="V16" s="177"/>
      <c r="W16" s="176"/>
      <c r="X16" s="176"/>
      <c r="Y16" s="177"/>
    </row>
    <row r="17" spans="1:25" ht="15.75" customHeight="1">
      <c r="A17" s="253"/>
      <c r="B17" s="175"/>
      <c r="C17" s="176"/>
      <c r="D17" s="177"/>
      <c r="E17" s="175"/>
      <c r="F17" s="176"/>
      <c r="G17" s="177"/>
      <c r="H17" s="175"/>
      <c r="I17" s="176"/>
      <c r="J17" s="177"/>
      <c r="K17" s="175"/>
      <c r="L17" s="176"/>
      <c r="M17" s="177"/>
      <c r="N17" s="187" t="s">
        <v>666</v>
      </c>
      <c r="O17" s="173" t="s">
        <v>688</v>
      </c>
      <c r="P17" s="174" t="s">
        <v>434</v>
      </c>
      <c r="Q17" s="187" t="s">
        <v>666</v>
      </c>
      <c r="R17" s="173" t="s">
        <v>689</v>
      </c>
      <c r="S17" s="174" t="s">
        <v>690</v>
      </c>
      <c r="T17" s="175"/>
      <c r="U17" s="176"/>
      <c r="V17" s="177"/>
      <c r="W17" s="176"/>
      <c r="X17" s="176"/>
      <c r="Y17" s="177"/>
    </row>
    <row r="18" spans="1:25" ht="15.75" customHeight="1">
      <c r="A18" s="253"/>
      <c r="B18" s="175"/>
      <c r="C18" s="176"/>
      <c r="D18" s="177"/>
      <c r="E18" s="175"/>
      <c r="F18" s="176"/>
      <c r="G18" s="177"/>
      <c r="H18" s="175"/>
      <c r="I18" s="176"/>
      <c r="J18" s="177"/>
      <c r="K18" s="175"/>
      <c r="L18" s="176"/>
      <c r="M18" s="177"/>
      <c r="N18" s="175"/>
      <c r="O18" s="176"/>
      <c r="P18" s="177"/>
      <c r="Q18" s="187" t="s">
        <v>666</v>
      </c>
      <c r="R18" s="173" t="s">
        <v>691</v>
      </c>
      <c r="S18" s="174" t="s">
        <v>692</v>
      </c>
      <c r="T18" s="172" t="s">
        <v>647</v>
      </c>
      <c r="U18" s="173" t="s">
        <v>693</v>
      </c>
      <c r="V18" s="174" t="s">
        <v>694</v>
      </c>
      <c r="W18" s="172"/>
      <c r="X18" s="191" t="s">
        <v>695</v>
      </c>
      <c r="Y18" s="174" t="s">
        <v>696</v>
      </c>
    </row>
    <row r="19" spans="1:25" ht="15.75" customHeight="1">
      <c r="A19" s="253"/>
      <c r="B19" s="175"/>
      <c r="C19" s="176"/>
      <c r="D19" s="177"/>
      <c r="E19" s="175"/>
      <c r="F19" s="176"/>
      <c r="G19" s="177"/>
      <c r="H19" s="175"/>
      <c r="I19" s="176"/>
      <c r="J19" s="177"/>
      <c r="K19" s="175"/>
      <c r="L19" s="176"/>
      <c r="M19" s="177"/>
      <c r="N19" s="175"/>
      <c r="O19" s="176"/>
      <c r="P19" s="177"/>
      <c r="Q19" s="175"/>
      <c r="R19" s="176"/>
      <c r="S19" s="177"/>
      <c r="T19" s="172" t="s">
        <v>647</v>
      </c>
      <c r="U19" s="173" t="s">
        <v>697</v>
      </c>
      <c r="V19" s="174" t="s">
        <v>698</v>
      </c>
      <c r="W19" s="172"/>
      <c r="X19" s="191" t="s">
        <v>699</v>
      </c>
      <c r="Y19" s="174" t="s">
        <v>700</v>
      </c>
    </row>
    <row r="20" spans="1:25" ht="15.75" customHeight="1">
      <c r="A20" s="255"/>
      <c r="B20" s="175"/>
      <c r="C20" s="176"/>
      <c r="D20" s="177"/>
      <c r="E20" s="175"/>
      <c r="F20" s="176"/>
      <c r="G20" s="177"/>
      <c r="H20" s="175"/>
      <c r="I20" s="176"/>
      <c r="J20" s="177"/>
      <c r="K20" s="175"/>
      <c r="L20" s="176"/>
      <c r="M20" s="177"/>
      <c r="N20" s="175"/>
      <c r="O20" s="176"/>
      <c r="P20" s="177"/>
      <c r="Q20" s="175"/>
      <c r="R20" s="176"/>
      <c r="S20" s="177"/>
      <c r="T20" s="172" t="s">
        <v>647</v>
      </c>
      <c r="U20" s="173" t="s">
        <v>701</v>
      </c>
      <c r="V20" s="174" t="s">
        <v>702</v>
      </c>
      <c r="W20" s="176"/>
      <c r="X20" s="176"/>
      <c r="Y20" s="177"/>
    </row>
    <row r="21" spans="1:25" ht="15.75" customHeight="1">
      <c r="A21" s="178"/>
      <c r="B21" s="179"/>
      <c r="C21" s="180"/>
      <c r="D21" s="181"/>
      <c r="E21" s="179"/>
      <c r="F21" s="180"/>
      <c r="G21" s="181"/>
      <c r="H21" s="179"/>
      <c r="I21" s="180"/>
      <c r="J21" s="181"/>
      <c r="K21" s="179"/>
      <c r="L21" s="180"/>
      <c r="M21" s="181"/>
      <c r="N21" s="179"/>
      <c r="O21" s="180"/>
      <c r="P21" s="181"/>
      <c r="Q21" s="179"/>
      <c r="R21" s="180"/>
      <c r="S21" s="181"/>
      <c r="T21" s="179"/>
      <c r="U21" s="180"/>
      <c r="V21" s="181"/>
      <c r="W21" s="180"/>
      <c r="X21" s="180"/>
      <c r="Y21" s="181"/>
    </row>
    <row r="22" spans="1:25" ht="15.75" customHeight="1">
      <c r="A22" s="254" t="s">
        <v>39</v>
      </c>
      <c r="B22" s="187" t="s">
        <v>666</v>
      </c>
      <c r="C22" s="173" t="s">
        <v>703</v>
      </c>
      <c r="D22" s="174" t="s">
        <v>40</v>
      </c>
      <c r="E22" s="175"/>
      <c r="F22" s="176"/>
      <c r="G22" s="177"/>
      <c r="H22" s="175"/>
      <c r="I22" s="176"/>
      <c r="J22" s="177"/>
      <c r="K22" s="175"/>
      <c r="L22" s="176"/>
      <c r="M22" s="177"/>
      <c r="N22" s="175"/>
      <c r="O22" s="176"/>
      <c r="P22" s="177"/>
      <c r="Q22" s="175"/>
      <c r="R22" s="176"/>
      <c r="S22" s="177"/>
      <c r="T22" s="175"/>
      <c r="U22" s="176"/>
      <c r="V22" s="177"/>
      <c r="W22" s="176"/>
      <c r="X22" s="176"/>
      <c r="Y22" s="177"/>
    </row>
    <row r="23" spans="1:25" ht="15.75" customHeight="1">
      <c r="A23" s="253"/>
      <c r="B23" s="190" t="s">
        <v>683</v>
      </c>
      <c r="C23" s="173" t="s">
        <v>704</v>
      </c>
      <c r="D23" s="174" t="s">
        <v>49</v>
      </c>
      <c r="E23" s="190" t="s">
        <v>683</v>
      </c>
      <c r="F23" s="173" t="s">
        <v>705</v>
      </c>
      <c r="G23" s="174" t="s">
        <v>167</v>
      </c>
      <c r="H23" s="187" t="s">
        <v>666</v>
      </c>
      <c r="I23" s="173" t="s">
        <v>706</v>
      </c>
      <c r="J23" s="192" t="s">
        <v>167</v>
      </c>
      <c r="K23" s="190" t="s">
        <v>683</v>
      </c>
      <c r="L23" s="173" t="s">
        <v>707</v>
      </c>
      <c r="M23" s="174" t="s">
        <v>167</v>
      </c>
      <c r="N23" s="187" t="s">
        <v>666</v>
      </c>
      <c r="O23" s="173" t="s">
        <v>708</v>
      </c>
      <c r="P23" s="174" t="s">
        <v>709</v>
      </c>
      <c r="Q23" s="187" t="s">
        <v>666</v>
      </c>
      <c r="R23" s="173" t="s">
        <v>710</v>
      </c>
      <c r="S23" s="174" t="s">
        <v>558</v>
      </c>
      <c r="T23" s="175"/>
      <c r="U23" s="176"/>
      <c r="V23" s="177"/>
      <c r="W23" s="187"/>
      <c r="X23" s="191" t="s">
        <v>711</v>
      </c>
      <c r="Y23" s="174" t="s">
        <v>712</v>
      </c>
    </row>
    <row r="24" spans="1:25" ht="15.75" customHeight="1">
      <c r="A24" s="253"/>
      <c r="B24" s="175"/>
      <c r="C24" s="176"/>
      <c r="D24" s="177"/>
      <c r="E24" s="175"/>
      <c r="F24" s="176"/>
      <c r="G24" s="177"/>
      <c r="H24" s="175"/>
      <c r="I24" s="176"/>
      <c r="J24" s="177"/>
      <c r="K24" s="175"/>
      <c r="L24" s="176"/>
      <c r="M24" s="177"/>
      <c r="N24" s="175"/>
      <c r="O24" s="176"/>
      <c r="P24" s="177"/>
      <c r="Q24" s="187" t="s">
        <v>666</v>
      </c>
      <c r="R24" s="173" t="s">
        <v>713</v>
      </c>
      <c r="S24" s="174" t="s">
        <v>551</v>
      </c>
      <c r="T24" s="175"/>
      <c r="U24" s="176"/>
      <c r="V24" s="177"/>
      <c r="W24" s="176"/>
      <c r="X24" s="176"/>
      <c r="Y24" s="177"/>
    </row>
    <row r="25" spans="1:25" ht="112.5">
      <c r="A25" s="255"/>
      <c r="B25" s="175"/>
      <c r="C25" s="176"/>
      <c r="D25" s="177"/>
      <c r="E25" s="175"/>
      <c r="F25" s="176"/>
      <c r="G25" s="177"/>
      <c r="H25" s="175"/>
      <c r="I25" s="176"/>
      <c r="J25" s="177"/>
      <c r="K25" s="175"/>
      <c r="L25" s="176"/>
      <c r="M25" s="177"/>
      <c r="N25" s="175"/>
      <c r="O25" s="176"/>
      <c r="P25" s="177"/>
      <c r="Q25" s="175"/>
      <c r="R25" s="176"/>
      <c r="S25" s="177"/>
      <c r="T25" s="190" t="s">
        <v>683</v>
      </c>
      <c r="U25" s="173" t="s">
        <v>714</v>
      </c>
      <c r="V25" s="174" t="s">
        <v>715</v>
      </c>
      <c r="W25" s="187"/>
      <c r="X25" s="191" t="s">
        <v>716</v>
      </c>
      <c r="Y25" s="174" t="s">
        <v>717</v>
      </c>
    </row>
    <row r="26" spans="1:25" ht="12.5">
      <c r="A26" s="178"/>
      <c r="B26" s="179"/>
      <c r="C26" s="180"/>
      <c r="D26" s="181"/>
      <c r="E26" s="179"/>
      <c r="F26" s="180"/>
      <c r="G26" s="181"/>
      <c r="H26" s="179"/>
      <c r="I26" s="180"/>
      <c r="J26" s="181"/>
      <c r="K26" s="179"/>
      <c r="L26" s="180"/>
      <c r="M26" s="181"/>
      <c r="N26" s="179"/>
      <c r="O26" s="180"/>
      <c r="P26" s="181"/>
      <c r="Q26" s="179"/>
      <c r="R26" s="180"/>
      <c r="S26" s="181"/>
      <c r="T26" s="179"/>
      <c r="U26" s="180"/>
      <c r="V26" s="181"/>
      <c r="W26" s="180"/>
      <c r="X26" s="180"/>
      <c r="Y26" s="181"/>
    </row>
    <row r="27" spans="1:25" ht="50">
      <c r="A27" s="256" t="s">
        <v>57</v>
      </c>
      <c r="B27" s="187" t="s">
        <v>666</v>
      </c>
      <c r="C27" s="173" t="s">
        <v>718</v>
      </c>
      <c r="D27" s="174" t="s">
        <v>719</v>
      </c>
      <c r="E27" s="175"/>
      <c r="F27" s="176"/>
      <c r="G27" s="177"/>
      <c r="H27" s="175"/>
      <c r="I27" s="176"/>
      <c r="J27" s="177"/>
      <c r="K27" s="175"/>
      <c r="L27" s="176"/>
      <c r="M27" s="177"/>
      <c r="N27" s="175"/>
      <c r="O27" s="176"/>
      <c r="P27" s="177"/>
      <c r="Q27" s="175"/>
      <c r="R27" s="176"/>
      <c r="S27" s="177"/>
      <c r="T27" s="175"/>
      <c r="U27" s="176"/>
      <c r="V27" s="177"/>
      <c r="W27" s="176"/>
      <c r="X27" s="176"/>
      <c r="Y27" s="177"/>
    </row>
    <row r="28" spans="1:25" ht="75">
      <c r="A28" s="253"/>
      <c r="B28" s="190" t="s">
        <v>683</v>
      </c>
      <c r="C28" s="173" t="s">
        <v>720</v>
      </c>
      <c r="D28" s="174" t="s">
        <v>721</v>
      </c>
      <c r="E28" s="175"/>
      <c r="F28" s="176"/>
      <c r="G28" s="177"/>
      <c r="H28" s="175"/>
      <c r="I28" s="176"/>
      <c r="J28" s="177"/>
      <c r="K28" s="175"/>
      <c r="L28" s="176"/>
      <c r="M28" s="177"/>
      <c r="N28" s="175"/>
      <c r="O28" s="176"/>
      <c r="P28" s="177"/>
      <c r="Q28" s="175"/>
      <c r="R28" s="176"/>
      <c r="S28" s="177"/>
      <c r="T28" s="175"/>
      <c r="U28" s="176"/>
      <c r="V28" s="177"/>
      <c r="W28" s="176"/>
      <c r="X28" s="176"/>
      <c r="Y28" s="177"/>
    </row>
    <row r="29" spans="1:25" ht="62.5">
      <c r="A29" s="253"/>
      <c r="B29" s="175"/>
      <c r="C29" s="176"/>
      <c r="D29" s="177"/>
      <c r="E29" s="172" t="s">
        <v>647</v>
      </c>
      <c r="F29" s="173" t="s">
        <v>722</v>
      </c>
      <c r="G29" s="174" t="s">
        <v>177</v>
      </c>
      <c r="H29" s="172" t="s">
        <v>647</v>
      </c>
      <c r="I29" s="173" t="s">
        <v>723</v>
      </c>
      <c r="J29" s="174" t="s">
        <v>242</v>
      </c>
      <c r="K29" s="175"/>
      <c r="L29" s="176"/>
      <c r="M29" s="177"/>
      <c r="N29" s="175"/>
      <c r="O29" s="176"/>
      <c r="P29" s="177"/>
      <c r="Q29" s="175"/>
      <c r="R29" s="176"/>
      <c r="S29" s="177"/>
      <c r="T29" s="175"/>
      <c r="U29" s="176"/>
      <c r="V29" s="177"/>
      <c r="W29" s="176"/>
      <c r="X29" s="176"/>
      <c r="Y29" s="177"/>
    </row>
    <row r="30" spans="1:25" ht="37.5">
      <c r="A30" s="253"/>
      <c r="B30" s="175"/>
      <c r="C30" s="176"/>
      <c r="D30" s="177"/>
      <c r="E30" s="187" t="s">
        <v>666</v>
      </c>
      <c r="F30" s="173" t="s">
        <v>724</v>
      </c>
      <c r="G30" s="174" t="s">
        <v>184</v>
      </c>
      <c r="H30" s="190" t="s">
        <v>683</v>
      </c>
      <c r="I30" s="173" t="s">
        <v>725</v>
      </c>
      <c r="J30" s="174" t="s">
        <v>257</v>
      </c>
      <c r="K30" s="175"/>
      <c r="L30" s="176"/>
      <c r="M30" s="177"/>
      <c r="N30" s="175"/>
      <c r="O30" s="176"/>
      <c r="P30" s="177"/>
      <c r="Q30" s="175"/>
      <c r="R30" s="176"/>
      <c r="S30" s="177"/>
      <c r="T30" s="175"/>
      <c r="U30" s="176"/>
      <c r="V30" s="177"/>
      <c r="W30" s="176"/>
      <c r="X30" s="176"/>
      <c r="Y30" s="177"/>
    </row>
    <row r="31" spans="1:25" ht="37.5">
      <c r="A31" s="253"/>
      <c r="B31" s="175"/>
      <c r="C31" s="176"/>
      <c r="D31" s="177"/>
      <c r="E31" s="190" t="s">
        <v>683</v>
      </c>
      <c r="F31" s="173" t="s">
        <v>726</v>
      </c>
      <c r="G31" s="174" t="s">
        <v>188</v>
      </c>
      <c r="H31" s="190" t="s">
        <v>683</v>
      </c>
      <c r="I31" s="173" t="s">
        <v>727</v>
      </c>
      <c r="J31" s="174" t="s">
        <v>188</v>
      </c>
      <c r="K31" s="190" t="s">
        <v>683</v>
      </c>
      <c r="L31" s="173" t="s">
        <v>728</v>
      </c>
      <c r="M31" s="174" t="s">
        <v>188</v>
      </c>
      <c r="N31" s="190" t="s">
        <v>683</v>
      </c>
      <c r="O31" s="173" t="s">
        <v>729</v>
      </c>
      <c r="P31" s="174" t="s">
        <v>188</v>
      </c>
      <c r="Q31" s="190" t="s">
        <v>683</v>
      </c>
      <c r="R31" s="173" t="s">
        <v>730</v>
      </c>
      <c r="S31" s="174" t="s">
        <v>188</v>
      </c>
      <c r="T31" s="187" t="s">
        <v>666</v>
      </c>
      <c r="U31" s="173" t="s">
        <v>731</v>
      </c>
      <c r="V31" s="174" t="s">
        <v>732</v>
      </c>
      <c r="W31" s="176"/>
      <c r="X31" s="176"/>
      <c r="Y31" s="177"/>
    </row>
    <row r="32" spans="1:25" ht="112.5">
      <c r="A32" s="253"/>
      <c r="B32" s="175"/>
      <c r="C32" s="176"/>
      <c r="D32" s="177"/>
      <c r="E32" s="175"/>
      <c r="F32" s="176"/>
      <c r="G32" s="177"/>
      <c r="H32" s="172" t="s">
        <v>647</v>
      </c>
      <c r="I32" s="173" t="s">
        <v>733</v>
      </c>
      <c r="J32" s="174" t="s">
        <v>252</v>
      </c>
      <c r="K32" s="172" t="s">
        <v>647</v>
      </c>
      <c r="L32" s="173" t="s">
        <v>734</v>
      </c>
      <c r="M32" s="174" t="s">
        <v>337</v>
      </c>
      <c r="N32" s="175"/>
      <c r="O32" s="176"/>
      <c r="P32" s="177"/>
      <c r="Q32" s="175"/>
      <c r="R32" s="176"/>
      <c r="S32" s="177"/>
      <c r="T32" s="175"/>
      <c r="U32" s="176"/>
      <c r="V32" s="177"/>
      <c r="W32" s="176"/>
      <c r="X32" s="176"/>
      <c r="Y32" s="177"/>
    </row>
    <row r="33" spans="1:25" ht="125">
      <c r="A33" s="253"/>
      <c r="B33" s="175"/>
      <c r="C33" s="176"/>
      <c r="D33" s="177"/>
      <c r="E33" s="175"/>
      <c r="F33" s="176"/>
      <c r="G33" s="177"/>
      <c r="H33" s="175"/>
      <c r="I33" s="176"/>
      <c r="J33" s="177"/>
      <c r="K33" s="172" t="s">
        <v>647</v>
      </c>
      <c r="L33" s="173" t="s">
        <v>735</v>
      </c>
      <c r="M33" s="174" t="s">
        <v>736</v>
      </c>
      <c r="N33" s="175"/>
      <c r="O33" s="176"/>
      <c r="P33" s="177"/>
      <c r="Q33" s="172" t="s">
        <v>647</v>
      </c>
      <c r="R33" s="173" t="s">
        <v>737</v>
      </c>
      <c r="S33" s="174" t="s">
        <v>738</v>
      </c>
      <c r="T33" s="175"/>
      <c r="U33" s="176"/>
      <c r="V33" s="177"/>
      <c r="W33" s="176"/>
      <c r="X33" s="176"/>
      <c r="Y33" s="177"/>
    </row>
    <row r="34" spans="1:25" ht="125">
      <c r="A34" s="253"/>
      <c r="B34" s="175"/>
      <c r="C34" s="176"/>
      <c r="D34" s="177"/>
      <c r="E34" s="175"/>
      <c r="F34" s="176"/>
      <c r="G34" s="177"/>
      <c r="H34" s="175"/>
      <c r="I34" s="176"/>
      <c r="J34" s="177"/>
      <c r="K34" s="187" t="s">
        <v>666</v>
      </c>
      <c r="L34" s="173" t="s">
        <v>739</v>
      </c>
      <c r="M34" s="174" t="s">
        <v>740</v>
      </c>
      <c r="N34" s="187" t="s">
        <v>666</v>
      </c>
      <c r="O34" s="173" t="s">
        <v>741</v>
      </c>
      <c r="P34" s="174" t="s">
        <v>459</v>
      </c>
      <c r="Q34" s="175"/>
      <c r="R34" s="176"/>
      <c r="S34" s="177"/>
      <c r="T34" s="175"/>
      <c r="U34" s="176"/>
      <c r="V34" s="177"/>
      <c r="W34" s="176"/>
      <c r="X34" s="176"/>
      <c r="Y34" s="177"/>
    </row>
    <row r="35" spans="1:25" ht="125">
      <c r="A35" s="253"/>
      <c r="B35" s="175"/>
      <c r="C35" s="176"/>
      <c r="D35" s="177"/>
      <c r="E35" s="175"/>
      <c r="F35" s="176"/>
      <c r="G35" s="177"/>
      <c r="H35" s="175"/>
      <c r="I35" s="176"/>
      <c r="J35" s="177"/>
      <c r="K35" s="175"/>
      <c r="L35" s="176"/>
      <c r="M35" s="177"/>
      <c r="N35" s="190" t="s">
        <v>683</v>
      </c>
      <c r="O35" s="173" t="s">
        <v>742</v>
      </c>
      <c r="P35" s="174" t="s">
        <v>743</v>
      </c>
      <c r="Q35" s="190" t="s">
        <v>683</v>
      </c>
      <c r="R35" s="173" t="s">
        <v>744</v>
      </c>
      <c r="S35" s="174" t="s">
        <v>565</v>
      </c>
      <c r="T35" s="175"/>
      <c r="U35" s="176"/>
      <c r="V35" s="177"/>
      <c r="W35" s="176"/>
      <c r="X35" s="176"/>
      <c r="Y35" s="177"/>
    </row>
    <row r="36" spans="1:25" ht="12.5">
      <c r="A36" s="255"/>
      <c r="B36" s="175"/>
      <c r="C36" s="176"/>
      <c r="D36" s="177"/>
      <c r="E36" s="175"/>
      <c r="F36" s="176"/>
      <c r="G36" s="177"/>
      <c r="H36" s="175"/>
      <c r="I36" s="176"/>
      <c r="J36" s="177"/>
      <c r="K36" s="175"/>
      <c r="L36" s="176"/>
      <c r="M36" s="177"/>
      <c r="N36" s="175"/>
      <c r="O36" s="176"/>
      <c r="P36" s="177"/>
      <c r="Q36" s="175"/>
      <c r="R36" s="176"/>
      <c r="S36" s="177"/>
      <c r="T36" s="175"/>
      <c r="U36" s="176"/>
      <c r="V36" s="177"/>
      <c r="W36" s="176"/>
      <c r="X36" s="176"/>
      <c r="Y36" s="177"/>
    </row>
    <row r="37" spans="1:25" ht="12.5">
      <c r="A37" s="178"/>
      <c r="B37" s="179"/>
      <c r="C37" s="180"/>
      <c r="D37" s="181"/>
      <c r="E37" s="179"/>
      <c r="F37" s="180"/>
      <c r="G37" s="181"/>
      <c r="H37" s="179"/>
      <c r="I37" s="180"/>
      <c r="J37" s="181"/>
      <c r="K37" s="179"/>
      <c r="L37" s="180"/>
      <c r="M37" s="181"/>
      <c r="N37" s="179"/>
      <c r="O37" s="180"/>
      <c r="P37" s="181"/>
      <c r="Q37" s="179"/>
      <c r="R37" s="180"/>
      <c r="S37" s="181"/>
      <c r="T37" s="179"/>
      <c r="U37" s="180"/>
      <c r="V37" s="181"/>
      <c r="W37" s="180"/>
      <c r="X37" s="180"/>
      <c r="Y37" s="181"/>
    </row>
    <row r="38" spans="1:25" ht="62.5">
      <c r="A38" s="257" t="s">
        <v>368</v>
      </c>
      <c r="B38" s="175"/>
      <c r="C38" s="176"/>
      <c r="D38" s="177"/>
      <c r="E38" s="175"/>
      <c r="F38" s="176"/>
      <c r="G38" s="177"/>
      <c r="H38" s="175"/>
      <c r="I38" s="268"/>
      <c r="J38" s="177"/>
      <c r="K38" s="172" t="s">
        <v>647</v>
      </c>
      <c r="L38" s="173" t="s">
        <v>745</v>
      </c>
      <c r="M38" s="174" t="s">
        <v>369</v>
      </c>
      <c r="N38" s="172" t="s">
        <v>647</v>
      </c>
      <c r="O38" s="173" t="s">
        <v>746</v>
      </c>
      <c r="P38" s="174" t="s">
        <v>473</v>
      </c>
      <c r="Q38" s="175"/>
      <c r="R38" s="176"/>
      <c r="S38" s="177"/>
      <c r="T38" s="175"/>
      <c r="U38" s="176"/>
      <c r="V38" s="177"/>
      <c r="W38" s="176"/>
      <c r="X38" s="176"/>
      <c r="Y38" s="177"/>
    </row>
    <row r="39" spans="1:25" ht="137.5">
      <c r="A39" s="253"/>
      <c r="B39" s="175"/>
      <c r="C39" s="176"/>
      <c r="D39" s="177"/>
      <c r="E39" s="175"/>
      <c r="F39" s="176"/>
      <c r="G39" s="177"/>
      <c r="H39" s="175"/>
      <c r="I39" s="269"/>
      <c r="J39" s="177"/>
      <c r="K39" s="175"/>
      <c r="L39" s="176"/>
      <c r="M39" s="177"/>
      <c r="N39" s="172" t="s">
        <v>647</v>
      </c>
      <c r="O39" s="173" t="s">
        <v>747</v>
      </c>
      <c r="P39" s="174" t="s">
        <v>748</v>
      </c>
      <c r="Q39" s="172" t="s">
        <v>647</v>
      </c>
      <c r="R39" s="173" t="s">
        <v>749</v>
      </c>
      <c r="S39" s="174" t="s">
        <v>596</v>
      </c>
      <c r="T39" s="175"/>
      <c r="U39" s="176"/>
      <c r="V39" s="177"/>
      <c r="W39" s="176"/>
      <c r="X39" s="176"/>
      <c r="Y39" s="177"/>
    </row>
    <row r="40" spans="1:25" ht="87.5">
      <c r="A40" s="253"/>
      <c r="B40" s="175"/>
      <c r="C40" s="176"/>
      <c r="D40" s="177"/>
      <c r="E40" s="175"/>
      <c r="F40" s="176"/>
      <c r="G40" s="177"/>
      <c r="H40" s="175"/>
      <c r="I40" s="269"/>
      <c r="J40" s="177"/>
      <c r="K40" s="175"/>
      <c r="L40" s="176"/>
      <c r="M40" s="177"/>
      <c r="N40" s="172" t="s">
        <v>647</v>
      </c>
      <c r="O40" s="173" t="s">
        <v>750</v>
      </c>
      <c r="P40" s="174" t="s">
        <v>501</v>
      </c>
      <c r="Q40" s="175"/>
      <c r="R40" s="176"/>
      <c r="S40" s="177"/>
      <c r="T40" s="175"/>
      <c r="U40" s="176"/>
      <c r="V40" s="177"/>
      <c r="W40" s="176"/>
      <c r="X40" s="176"/>
      <c r="Y40" s="177"/>
    </row>
    <row r="41" spans="1:25" ht="150">
      <c r="A41" s="255"/>
      <c r="B41" s="175"/>
      <c r="C41" s="176"/>
      <c r="D41" s="177"/>
      <c r="E41" s="175"/>
      <c r="F41" s="176"/>
      <c r="G41" s="177"/>
      <c r="H41" s="175"/>
      <c r="I41" s="270"/>
      <c r="J41" s="177"/>
      <c r="K41" s="175"/>
      <c r="L41" s="176"/>
      <c r="M41" s="177"/>
      <c r="N41" s="175"/>
      <c r="O41" s="176"/>
      <c r="P41" s="177"/>
      <c r="Q41" s="172" t="s">
        <v>647</v>
      </c>
      <c r="R41" s="173" t="s">
        <v>751</v>
      </c>
      <c r="S41" s="174" t="s">
        <v>752</v>
      </c>
      <c r="T41" s="172" t="s">
        <v>647</v>
      </c>
      <c r="U41" s="173" t="s">
        <v>753</v>
      </c>
      <c r="V41" s="174" t="s">
        <v>754</v>
      </c>
      <c r="W41" s="172"/>
      <c r="X41" s="191" t="s">
        <v>755</v>
      </c>
      <c r="Y41" s="174" t="s">
        <v>756</v>
      </c>
    </row>
    <row r="42" spans="1:25" ht="12.5">
      <c r="A42" s="193"/>
      <c r="B42" s="179"/>
      <c r="C42" s="180"/>
      <c r="D42" s="181"/>
      <c r="E42" s="179"/>
      <c r="F42" s="180"/>
      <c r="G42" s="181"/>
      <c r="H42" s="179"/>
      <c r="I42" s="180"/>
      <c r="J42" s="181"/>
      <c r="K42" s="179"/>
      <c r="L42" s="180"/>
      <c r="M42" s="181"/>
      <c r="N42" s="179"/>
      <c r="O42" s="180"/>
      <c r="P42" s="181"/>
      <c r="Q42" s="179"/>
      <c r="R42" s="180"/>
      <c r="S42" s="181"/>
      <c r="T42" s="182"/>
      <c r="U42" s="36"/>
      <c r="V42" s="183"/>
      <c r="W42" s="36"/>
      <c r="X42" s="36"/>
      <c r="Y42" s="183"/>
    </row>
    <row r="43" spans="1:25" ht="100">
      <c r="A43" s="162" t="s">
        <v>645</v>
      </c>
      <c r="B43" s="175"/>
      <c r="C43" s="176"/>
      <c r="D43" s="177"/>
      <c r="E43" s="175"/>
      <c r="F43" s="176"/>
      <c r="G43" s="177"/>
      <c r="H43" s="175"/>
      <c r="I43" s="176"/>
      <c r="J43" s="177"/>
      <c r="K43" s="175"/>
      <c r="L43" s="176"/>
      <c r="M43" s="177"/>
      <c r="N43" s="175"/>
      <c r="O43" s="176"/>
      <c r="P43" s="177"/>
      <c r="Q43" s="175"/>
      <c r="R43" s="176"/>
      <c r="S43" s="177"/>
      <c r="T43" s="194" t="s">
        <v>647</v>
      </c>
      <c r="U43" s="195" t="s">
        <v>757</v>
      </c>
      <c r="V43" s="189" t="s">
        <v>758</v>
      </c>
      <c r="W43" s="194" t="s">
        <v>647</v>
      </c>
      <c r="X43" s="195" t="s">
        <v>759</v>
      </c>
      <c r="Y43" s="189" t="s">
        <v>760</v>
      </c>
    </row>
    <row r="44" spans="1:25" ht="12.5">
      <c r="A44" s="193"/>
      <c r="B44" s="179"/>
      <c r="C44" s="180"/>
      <c r="D44" s="181"/>
      <c r="E44" s="179"/>
      <c r="F44" s="180"/>
      <c r="G44" s="181"/>
      <c r="H44" s="179"/>
      <c r="I44" s="180"/>
      <c r="J44" s="181"/>
      <c r="K44" s="179"/>
      <c r="L44" s="180"/>
      <c r="M44" s="181"/>
      <c r="N44" s="179"/>
      <c r="O44" s="180"/>
      <c r="P44" s="181"/>
      <c r="Q44" s="179"/>
      <c r="R44" s="180"/>
      <c r="S44" s="181"/>
      <c r="T44" s="182"/>
      <c r="U44" s="36"/>
      <c r="V44" s="183"/>
      <c r="W44" s="36"/>
      <c r="X44" s="36"/>
      <c r="Y44" s="183"/>
    </row>
    <row r="45" spans="1:25" ht="75">
      <c r="A45" s="271" t="s">
        <v>761</v>
      </c>
      <c r="B45" s="175"/>
      <c r="C45" s="176"/>
      <c r="D45" s="177"/>
      <c r="E45" s="175"/>
      <c r="F45" s="176"/>
      <c r="G45" s="177"/>
      <c r="H45" s="175"/>
      <c r="I45" s="176"/>
      <c r="J45" s="177"/>
      <c r="K45" s="175"/>
      <c r="L45" s="176"/>
      <c r="M45" s="177"/>
      <c r="N45" s="175"/>
      <c r="O45" s="176"/>
      <c r="P45" s="177"/>
      <c r="Q45" s="175"/>
      <c r="R45" s="176"/>
      <c r="S45" s="177"/>
      <c r="T45" s="196" t="s">
        <v>666</v>
      </c>
      <c r="U45" s="195" t="s">
        <v>762</v>
      </c>
      <c r="V45" s="189" t="s">
        <v>763</v>
      </c>
      <c r="W45" s="190"/>
      <c r="X45" s="173" t="s">
        <v>764</v>
      </c>
      <c r="Y45" s="174" t="s">
        <v>765</v>
      </c>
    </row>
    <row r="46" spans="1:25" ht="62.5">
      <c r="A46" s="253"/>
      <c r="B46" s="175"/>
      <c r="C46" s="176"/>
      <c r="D46" s="177"/>
      <c r="E46" s="175"/>
      <c r="F46" s="176"/>
      <c r="G46" s="177"/>
      <c r="H46" s="175"/>
      <c r="I46" s="176"/>
      <c r="J46" s="177"/>
      <c r="K46" s="175"/>
      <c r="L46" s="176"/>
      <c r="M46" s="177"/>
      <c r="N46" s="175"/>
      <c r="O46" s="176"/>
      <c r="P46" s="177"/>
      <c r="Q46" s="175"/>
      <c r="R46" s="176"/>
      <c r="S46" s="177"/>
      <c r="T46" s="175"/>
      <c r="U46" s="176"/>
      <c r="V46" s="177"/>
      <c r="W46" s="196"/>
      <c r="X46" s="195" t="s">
        <v>766</v>
      </c>
      <c r="Y46" s="189" t="s">
        <v>767</v>
      </c>
    </row>
    <row r="47" spans="1:25" ht="87.5">
      <c r="A47" s="255"/>
      <c r="B47" s="175"/>
      <c r="C47" s="176"/>
      <c r="D47" s="177"/>
      <c r="E47" s="175"/>
      <c r="F47" s="176"/>
      <c r="G47" s="177"/>
      <c r="H47" s="175"/>
      <c r="I47" s="176"/>
      <c r="J47" s="177"/>
      <c r="K47" s="175"/>
      <c r="L47" s="176"/>
      <c r="M47" s="177"/>
      <c r="N47" s="175"/>
      <c r="O47" s="176"/>
      <c r="P47" s="177"/>
      <c r="Q47" s="175"/>
      <c r="R47" s="176"/>
      <c r="S47" s="177"/>
      <c r="T47" s="175"/>
      <c r="U47" s="176"/>
      <c r="V47" s="177"/>
      <c r="W47" s="190"/>
      <c r="X47" s="173" t="s">
        <v>768</v>
      </c>
      <c r="Y47" s="174" t="s">
        <v>769</v>
      </c>
    </row>
  </sheetData>
  <mergeCells count="19">
    <mergeCell ref="I38:I41"/>
    <mergeCell ref="A45:A47"/>
    <mergeCell ref="C1:D1"/>
    <mergeCell ref="F1:G1"/>
    <mergeCell ref="I1:J1"/>
    <mergeCell ref="B2:D2"/>
    <mergeCell ref="E2:G2"/>
    <mergeCell ref="H2:J2"/>
    <mergeCell ref="A7:A9"/>
    <mergeCell ref="A11:A20"/>
    <mergeCell ref="A22:A25"/>
    <mergeCell ref="A27:A36"/>
    <mergeCell ref="A38:A41"/>
    <mergeCell ref="N2:P2"/>
    <mergeCell ref="Q2:S2"/>
    <mergeCell ref="T2:V2"/>
    <mergeCell ref="W2:Y2"/>
    <mergeCell ref="A3:A5"/>
    <mergeCell ref="K2:M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Directions</vt:lpstr>
      <vt:lpstr>K-M</vt:lpstr>
      <vt:lpstr>1-M</vt:lpstr>
      <vt:lpstr>2-M</vt:lpstr>
      <vt:lpstr>3-M</vt:lpstr>
      <vt:lpstr>4-M</vt:lpstr>
      <vt:lpstr>5-M</vt:lpstr>
      <vt:lpstr>Math E.S. Vertical Report</vt:lpstr>
      <vt:lpstr>ATC Math Reference</vt:lpstr>
      <vt:lpstr>Sheet10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Regina Renae Stewman</dc:creator>
  <cp:lastModifiedBy>Regina Renae Stewman</cp:lastModifiedBy>
  <dcterms:created xsi:type="dcterms:W3CDTF">2023-02-25T01:19:53Z</dcterms:created>
  <dcterms:modified xsi:type="dcterms:W3CDTF">2023-02-25T01:19:53Z</dcterms:modified>
</cp:coreProperties>
</file>