
<file path=[Content_Types].xml><?xml version="1.0" encoding="utf-8"?>
<Types xmlns="http://schemas.openxmlformats.org/package/2006/content-types">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comments+xml" PartName="/xl/comments3.xml"/>
  <Override ContentType="application/vnd.openxmlformats-officedocument.spreadsheetml.comments+xml" PartName="/xl/comments4.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7.xml"/>
  <Override ContentType="application/vnd.openxmlformats-officedocument.spreadsheetml.comments+xml" PartName="/xl/comments8.xml"/>
  <Override ContentType="application/vnd.openxmlformats-officedocument.spreadsheetml.sharedStrings+xml" PartName="/xl/sharedStrings.xml"/>
  <Override ContentType="application/vnd.openxmlformats-officedocument.spreadsheetml.sheet.main+xml" PartName="/xl/workbook.xml"/>
  <Override ContentType="application/vnd.openxmlformats-officedocument.spreadsheetml.styles+xml" PartName="/xl/styles.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Directions" sheetId="1" r:id="rId3"/>
    <sheet state="visible" name="K-R" sheetId="2" r:id="rId4"/>
    <sheet state="visible" name="1-R" sheetId="3" r:id="rId5"/>
    <sheet state="visible" name="2-R" sheetId="4" r:id="rId6"/>
    <sheet state="visible" name="3-R" sheetId="5" r:id="rId7"/>
    <sheet state="visible" name="4-R" sheetId="6" r:id="rId8"/>
    <sheet state="visible" name="5-R" sheetId="7" r:id="rId9"/>
    <sheet state="visible" name="6-R" sheetId="8" r:id="rId10"/>
    <sheet state="visible" name="Reading E.S. Vertical Report" sheetId="9" r:id="rId11"/>
  </sheets>
  <definedNames/>
  <calcPr/>
</workbook>
</file>

<file path=xl/comments1.xml><?xml version="1.0" encoding="utf-8"?>
<comments xmlns:r="http://schemas.openxmlformats.org/officeDocument/2006/relationships" xmlns="http://schemas.openxmlformats.org/spreadsheetml/2006/main">
  <authors>
    <author/>
  </authors>
  <commentList>
    <comment authorId="0" ref="C4">
      <text>
        <t xml:space="preserve">Essential Skill Score (a total of each of the assessment factors)</t>
      </text>
    </comment>
    <comment authorId="0" ref="F4">
      <text>
        <t xml:space="preserve">Readiness Standard
For the next level learning</t>
      </text>
    </comment>
    <comment authorId="0" ref="G4">
      <text>
        <t xml:space="preserve">Endurance Standard
Concepts and skills that last over time
</t>
      </text>
    </comment>
    <comment authorId="0" ref="H4">
      <text>
        <t xml:space="preserve">Assessment Standard
The likelyhood that the standard will be assessed on standardized test
</t>
      </text>
    </comment>
    <comment authorId="0" ref="I4">
      <text>
        <t xml:space="preserve">Leverage Standard
Crossover application to other areas</t>
      </text>
    </comment>
    <comment authorId="0" ref="C44">
      <text>
        <t xml:space="preserve">Essential Skill Score (a total of each of the assessment factors)</t>
      </text>
    </comment>
    <comment authorId="0" ref="F44">
      <text>
        <t xml:space="preserve">Readiness Standard
For the next level learning</t>
      </text>
    </comment>
    <comment authorId="0" ref="G44">
      <text>
        <t xml:space="preserve">Endurance Standard
Concepts and skills that last over time
</t>
      </text>
    </comment>
    <comment authorId="0" ref="H44">
      <text>
        <t xml:space="preserve">Assessment Standard
The likelyhood that the standard will be assessed on standardized test
</t>
      </text>
    </comment>
    <comment authorId="0" ref="I44">
      <text>
        <t xml:space="preserve">Leverage Standard
Crossover application to other areas</t>
      </text>
    </comment>
  </commentList>
</comments>
</file>

<file path=xl/comments2.xml><?xml version="1.0" encoding="utf-8"?>
<comments xmlns:r="http://schemas.openxmlformats.org/officeDocument/2006/relationships" xmlns="http://schemas.openxmlformats.org/spreadsheetml/2006/main">
  <authors>
    <author/>
  </authors>
  <commentList>
    <comment authorId="0" ref="C4">
      <text>
        <t xml:space="preserve">Essential Skill Score (a total of each of the assessment factors)</t>
      </text>
    </comment>
    <comment authorId="0" ref="F4">
      <text>
        <t xml:space="preserve">Readiness Standard
For the next level learning</t>
      </text>
    </comment>
    <comment authorId="0" ref="G4">
      <text>
        <t xml:space="preserve">Endurance Standard
Concepts and skills that last over time
</t>
      </text>
    </comment>
    <comment authorId="0" ref="H4">
      <text>
        <t xml:space="preserve">Assessment Standard
The likelyhood that the standard will be assessed on standardized test
</t>
      </text>
    </comment>
    <comment authorId="0" ref="I4">
      <text>
        <t xml:space="preserve">Leverage Standard
Crossover application to other areas</t>
      </text>
    </comment>
    <comment authorId="0" ref="C46">
      <text>
        <t xml:space="preserve">Essential Skill Score (a total of each of the assessment factors)</t>
      </text>
    </comment>
    <comment authorId="0" ref="F46">
      <text>
        <t xml:space="preserve">Readiness Standard
For the next level learning</t>
      </text>
    </comment>
    <comment authorId="0" ref="G46">
      <text>
        <t xml:space="preserve">Endurance Standard
Concepts and skills that last over time
</t>
      </text>
    </comment>
    <comment authorId="0" ref="H46">
      <text>
        <t xml:space="preserve">Assessment Standard
The likelyhood that the standard will be assessed on standardized test
</t>
      </text>
    </comment>
    <comment authorId="0" ref="I46">
      <text>
        <t xml:space="preserve">Leverage Standard
Crossover application to other areas</t>
      </text>
    </comment>
  </commentList>
</comments>
</file>

<file path=xl/comments3.xml><?xml version="1.0" encoding="utf-8"?>
<comments xmlns:r="http://schemas.openxmlformats.org/officeDocument/2006/relationships" xmlns="http://schemas.openxmlformats.org/spreadsheetml/2006/main">
  <authors>
    <author/>
  </authors>
  <commentList>
    <comment authorId="0" ref="C4">
      <text>
        <t xml:space="preserve">Essential Skill Score (a total of each of the assessment factors)</t>
      </text>
    </comment>
    <comment authorId="0" ref="F4">
      <text>
        <t xml:space="preserve">Readiness Standard
For the next level learning</t>
      </text>
    </comment>
    <comment authorId="0" ref="G4">
      <text>
        <t xml:space="preserve">Endurance Standard
Concepts and skills that last over time
</t>
      </text>
    </comment>
    <comment authorId="0" ref="H4">
      <text>
        <t xml:space="preserve">Assessment Standard
The likelyhood that the standard will be assessed on standardized test
</t>
      </text>
    </comment>
    <comment authorId="0" ref="I4">
      <text>
        <t xml:space="preserve">Leverage Standard
Crossover application to other areas</t>
      </text>
    </comment>
    <comment authorId="0" ref="C38">
      <text>
        <t xml:space="preserve">Essential Skill Score (a total of each of the assessment factors)</t>
      </text>
    </comment>
    <comment authorId="0" ref="F38">
      <text>
        <t xml:space="preserve">Readiness Standard
For the next level learning</t>
      </text>
    </comment>
    <comment authorId="0" ref="G38">
      <text>
        <t xml:space="preserve">Endurance Standard
Concepts and skills that last over time
</t>
      </text>
    </comment>
    <comment authorId="0" ref="H38">
      <text>
        <t xml:space="preserve">Assessment Standard
The likelyhood that the standard will be assessed on standardized test
</t>
      </text>
    </comment>
    <comment authorId="0" ref="I38">
      <text>
        <t xml:space="preserve">Leverage Standard
Crossover application to other areas</t>
      </text>
    </comment>
  </commentList>
</comments>
</file>

<file path=xl/comments4.xml><?xml version="1.0" encoding="utf-8"?>
<comments xmlns:r="http://schemas.openxmlformats.org/officeDocument/2006/relationships" xmlns="http://schemas.openxmlformats.org/spreadsheetml/2006/main">
  <authors>
    <author/>
  </authors>
  <commentList>
    <comment authorId="0" ref="C4">
      <text>
        <t xml:space="preserve">Essential Skill Score (a total of each of the assessment factors)</t>
      </text>
    </comment>
    <comment authorId="0" ref="F4">
      <text>
        <t xml:space="preserve">Readiness Standard
For the next level learning</t>
      </text>
    </comment>
    <comment authorId="0" ref="G4">
      <text>
        <t xml:space="preserve">Endurance Standard
Concepts and skills that last over time
</t>
      </text>
    </comment>
    <comment authorId="0" ref="H4">
      <text>
        <t xml:space="preserve">Assessment Standard
The likelyhood that the standard will be assessed on standardized test
</t>
      </text>
    </comment>
    <comment authorId="0" ref="I4">
      <text>
        <t xml:space="preserve">Leverage Standard
Crossover application to other areas</t>
      </text>
    </comment>
    <comment authorId="0" ref="C36">
      <text>
        <t xml:space="preserve">Essential Skill Score (a total of each of the assessment factors)</t>
      </text>
    </comment>
    <comment authorId="0" ref="F36">
      <text>
        <t xml:space="preserve">Readiness Standard
For the next level learning</t>
      </text>
    </comment>
    <comment authorId="0" ref="G36">
      <text>
        <t xml:space="preserve">Endurance Standard
Concepts and skills that last over time
</t>
      </text>
    </comment>
    <comment authorId="0" ref="H36">
      <text>
        <t xml:space="preserve">Assessment Standard
The likelyhood that the standard will be assessed on standardized test
</t>
      </text>
    </comment>
    <comment authorId="0" ref="I36">
      <text>
        <t xml:space="preserve">Leverage Standard
Crossover application to other areas</t>
      </text>
    </comment>
  </commentList>
</comments>
</file>

<file path=xl/comments5.xml><?xml version="1.0" encoding="utf-8"?>
<comments xmlns:r="http://schemas.openxmlformats.org/officeDocument/2006/relationships" xmlns="http://schemas.openxmlformats.org/spreadsheetml/2006/main">
  <authors>
    <author/>
  </authors>
  <commentList>
    <comment authorId="0" ref="C4">
      <text>
        <t xml:space="preserve">Essential Skill Score (a total of each of the assessment factors)</t>
      </text>
    </comment>
    <comment authorId="0" ref="F4">
      <text>
        <t xml:space="preserve">Readiness Standard
For the next level learning</t>
      </text>
    </comment>
    <comment authorId="0" ref="G4">
      <text>
        <t xml:space="preserve">Endurance Standard
Concepts and skills that last over time
</t>
      </text>
    </comment>
    <comment authorId="0" ref="H4">
      <text>
        <t xml:space="preserve">Assessment Standard
The likelyhood that the standard will be assessed on standardized test
</t>
      </text>
    </comment>
    <comment authorId="0" ref="I4">
      <text>
        <t xml:space="preserve">Leverage Standard
Crossover application to other areas</t>
      </text>
    </comment>
    <comment authorId="0" ref="C33">
      <text>
        <t xml:space="preserve">Essential Skill Score (a total of each of the assessment factors)</t>
      </text>
    </comment>
    <comment authorId="0" ref="F33">
      <text>
        <t xml:space="preserve">Readiness Standard
For the next level learning</t>
      </text>
    </comment>
    <comment authorId="0" ref="G33">
      <text>
        <t xml:space="preserve">Endurance Standard
Concepts and skills that last over time
</t>
      </text>
    </comment>
    <comment authorId="0" ref="H33">
      <text>
        <t xml:space="preserve">Assessment Standard
The likelyhood that the standard will be assessed on standardized test
</t>
      </text>
    </comment>
    <comment authorId="0" ref="I33">
      <text>
        <t xml:space="preserve">Leverage Standard
Crossover application to other areas</t>
      </text>
    </comment>
  </commentList>
</comments>
</file>

<file path=xl/comments6.xml><?xml version="1.0" encoding="utf-8"?>
<comments xmlns:r="http://schemas.openxmlformats.org/officeDocument/2006/relationships" xmlns="http://schemas.openxmlformats.org/spreadsheetml/2006/main">
  <authors>
    <author/>
  </authors>
  <commentList>
    <comment authorId="0" ref="C4">
      <text>
        <t xml:space="preserve">Essential Skill Score (a total of each of the assessment factors)</t>
      </text>
    </comment>
    <comment authorId="0" ref="F4">
      <text>
        <t xml:space="preserve">Readiness Standard
For the next level learning</t>
      </text>
    </comment>
    <comment authorId="0" ref="G4">
      <text>
        <t xml:space="preserve">Endurance Standard
Concepts and skills that last over time
</t>
      </text>
    </comment>
    <comment authorId="0" ref="H4">
      <text>
        <t xml:space="preserve">Assessment Standard
The likelyhood that the standard will be assessed on standardized test
</t>
      </text>
    </comment>
    <comment authorId="0" ref="I4">
      <text>
        <t xml:space="preserve">Leverage Standard
Crossover application to other areas</t>
      </text>
    </comment>
    <comment authorId="0" ref="C33">
      <text>
        <t xml:space="preserve">Essential Skill Score (a total of each of the assessment factors)</t>
      </text>
    </comment>
    <comment authorId="0" ref="F33">
      <text>
        <t xml:space="preserve">Readiness Standard
For the next level learning</t>
      </text>
    </comment>
    <comment authorId="0" ref="G33">
      <text>
        <t xml:space="preserve">Endurance Standard
Concepts and skills that last over time
</t>
      </text>
    </comment>
    <comment authorId="0" ref="H33">
      <text>
        <t xml:space="preserve">Assessment Standard
The likelyhood that the standard will be assessed on standardized test
</t>
      </text>
    </comment>
    <comment authorId="0" ref="I33">
      <text>
        <t xml:space="preserve">Leverage Standard
Crossover application to other areas</t>
      </text>
    </comment>
  </commentList>
</comments>
</file>

<file path=xl/comments7.xml><?xml version="1.0" encoding="utf-8"?>
<comments xmlns:r="http://schemas.openxmlformats.org/officeDocument/2006/relationships" xmlns="http://schemas.openxmlformats.org/spreadsheetml/2006/main">
  <authors>
    <author/>
  </authors>
  <commentList>
    <comment authorId="0" ref="C4">
      <text>
        <t xml:space="preserve">Essential Skill Score (a total of each of the assessment factors)</t>
      </text>
    </comment>
    <comment authorId="0" ref="F4">
      <text>
        <t xml:space="preserve">Readiness Standard
For the next level learning</t>
      </text>
    </comment>
    <comment authorId="0" ref="G4">
      <text>
        <t xml:space="preserve">Endurance Standard
Concepts and skills that last over time
</t>
      </text>
    </comment>
    <comment authorId="0" ref="H4">
      <text>
        <t xml:space="preserve">Assessment Standard
The likelyhood that the standard will be assessed on standardized test
</t>
      </text>
    </comment>
    <comment authorId="0" ref="I4">
      <text>
        <t xml:space="preserve">Leverage Standard
Crossover application to other areas</t>
      </text>
    </comment>
    <comment authorId="0" ref="C27">
      <text>
        <t xml:space="preserve">Essential Skill Score (a total of each of the assessment factors)</t>
      </text>
    </comment>
    <comment authorId="0" ref="F27">
      <text>
        <t xml:space="preserve">Readiness Standard
For the next level learning</t>
      </text>
    </comment>
    <comment authorId="0" ref="G27">
      <text>
        <t xml:space="preserve">Endurance Standard
Concepts and skills that last over time
</t>
      </text>
    </comment>
    <comment authorId="0" ref="H27">
      <text>
        <t xml:space="preserve">Assessment Standard
The likelyhood that the standard will be assessed on standardized test
</t>
      </text>
    </comment>
    <comment authorId="0" ref="I27">
      <text>
        <t xml:space="preserve">Leverage Standard
Crossover application to other areas</t>
      </text>
    </comment>
  </commentList>
</comments>
</file>

<file path=xl/comments8.xml><?xml version="1.0" encoding="utf-8"?>
<comments xmlns:r="http://schemas.openxmlformats.org/officeDocument/2006/relationships" xmlns="http://schemas.openxmlformats.org/spreadsheetml/2006/main">
  <authors>
    <author/>
  </authors>
  <commentList>
    <comment authorId="0" ref="B3">
      <text>
        <t xml:space="preserve"># of Assessment Factors</t>
      </text>
    </comment>
    <comment authorId="0" ref="E3">
      <text>
        <t xml:space="preserve">Readiness Standard
For the next level learning</t>
      </text>
    </comment>
    <comment authorId="0" ref="F3">
      <text>
        <t xml:space="preserve">Endurance Standard
Concepts and skills that last over time
</t>
      </text>
    </comment>
    <comment authorId="0" ref="G3">
      <text>
        <t xml:space="preserve">Assessment Standard
The likelyhood that the standard will be assessed on standardized test
</t>
      </text>
    </comment>
    <comment authorId="0" ref="H3">
      <text>
        <t xml:space="preserve">Leverage Standard
Crossover application to other areas</t>
      </text>
    </comment>
    <comment authorId="0" ref="K3">
      <text>
        <t xml:space="preserve"># of Assessment Factors</t>
      </text>
    </comment>
    <comment authorId="0" ref="N3">
      <text>
        <t xml:space="preserve">Readiness Standard
For the next level learning</t>
      </text>
    </comment>
    <comment authorId="0" ref="O3">
      <text>
        <t xml:space="preserve">Endurance Standard
Concepts and skills that last over time
</t>
      </text>
    </comment>
    <comment authorId="0" ref="P3">
      <text>
        <t xml:space="preserve">Assessment Standard
The likelyhood that the standard will be assessed on standardized test
</t>
      </text>
    </comment>
    <comment authorId="0" ref="Q3">
      <text>
        <t xml:space="preserve">Leverage Standard
Crossover application to other areas</t>
      </text>
    </comment>
    <comment authorId="0" ref="T3">
      <text>
        <t xml:space="preserve"># of Assessment Factors</t>
      </text>
    </comment>
    <comment authorId="0" ref="W3">
      <text>
        <t xml:space="preserve">Readiness Standard
For the next level learning</t>
      </text>
    </comment>
    <comment authorId="0" ref="X3">
      <text>
        <t xml:space="preserve">Endurance Standard
Concepts and skills that last over time
</t>
      </text>
    </comment>
    <comment authorId="0" ref="Y3">
      <text>
        <t xml:space="preserve">Assessment Standard
The likelyhood that the standard will be assessed on standardized test
</t>
      </text>
    </comment>
    <comment authorId="0" ref="Z3">
      <text>
        <t xml:space="preserve">Leverage Standard
Crossover application to other areas</t>
      </text>
    </comment>
    <comment authorId="0" ref="AC3">
      <text>
        <t xml:space="preserve"># of Assessment Factors</t>
      </text>
    </comment>
    <comment authorId="0" ref="AF3">
      <text>
        <t xml:space="preserve">Readiness Standard
For the next level learning</t>
      </text>
    </comment>
    <comment authorId="0" ref="AG3">
      <text>
        <t xml:space="preserve">Endurance Standard
Concepts and skills that last over time
</t>
      </text>
    </comment>
    <comment authorId="0" ref="AH3">
      <text>
        <t xml:space="preserve">Assessment Standard
The likelyhood that the standard will be assessed on standardized test
</t>
      </text>
    </comment>
    <comment authorId="0" ref="AI3">
      <text>
        <t xml:space="preserve">Leverage Standard
Crossover application to other areas</t>
      </text>
    </comment>
    <comment authorId="0" ref="AL3">
      <text>
        <t xml:space="preserve"># of Assessment Factors</t>
      </text>
    </comment>
    <comment authorId="0" ref="AO3">
      <text>
        <t xml:space="preserve">Readiness Standard
For the next level learning</t>
      </text>
    </comment>
    <comment authorId="0" ref="AP3">
      <text>
        <t xml:space="preserve">Endurance Standard
Concepts and skills that last over time
</t>
      </text>
    </comment>
    <comment authorId="0" ref="AQ3">
      <text>
        <t xml:space="preserve">Assessment Standard
The likelyhood that the standard will be assessed on standardized test
</t>
      </text>
    </comment>
    <comment authorId="0" ref="AR3">
      <text>
        <t xml:space="preserve">Leverage Standard
Crossover application to other areas</t>
      </text>
    </comment>
    <comment authorId="0" ref="AU3">
      <text>
        <t xml:space="preserve"># of Assessment Factors</t>
      </text>
    </comment>
    <comment authorId="0" ref="AX3">
      <text>
        <t xml:space="preserve">Readiness Standard
For the next level learning</t>
      </text>
    </comment>
    <comment authorId="0" ref="AY3">
      <text>
        <t xml:space="preserve">Endurance Standard
Concepts and skills that last over time
</t>
      </text>
    </comment>
    <comment authorId="0" ref="AZ3">
      <text>
        <t xml:space="preserve">Assessment Standard
The likelyhood that the standard will be assessed on standardized test
</t>
      </text>
    </comment>
    <comment authorId="0" ref="BA3">
      <text>
        <t xml:space="preserve">Leverage Standard
Crossover application to other areas</t>
      </text>
    </comment>
    <comment authorId="0" ref="BD3">
      <text>
        <t xml:space="preserve"># of Assessment Factors</t>
      </text>
    </comment>
    <comment authorId="0" ref="BG3">
      <text>
        <t xml:space="preserve">Readiness Standard
For the next level learning</t>
      </text>
    </comment>
    <comment authorId="0" ref="BH3">
      <text>
        <t xml:space="preserve">Endurance Standard
Concepts and skills that last over time
</t>
      </text>
    </comment>
    <comment authorId="0" ref="BI3">
      <text>
        <t xml:space="preserve">Assessment Standard
The likelyhood that the standard will be assessed on standardized test
</t>
      </text>
    </comment>
    <comment authorId="0" ref="BJ3">
      <text>
        <t xml:space="preserve">Leverage Standard
Crossover application to other areas</t>
      </text>
    </comment>
  </commentList>
</comments>
</file>

<file path=xl/sharedStrings.xml><?xml version="1.0" encoding="utf-8"?>
<sst xmlns="http://schemas.openxmlformats.org/spreadsheetml/2006/main" count="1016" uniqueCount="541">
  <si>
    <t>Welcome to the essential standards planning document for K-6 Reading!  This document is meant to help teams develop a guaranteed and viable curriculum by choosing only standards that meet assessment criteria.</t>
  </si>
  <si>
    <t>During Phase 1 teams evaluate each standard for readiness, endurance, assessment, and leverage. As they mark the relevant checkboxes the ESS. (essential score) will increase. Teams will also provide justification for their decisions.  Please only modify the light blue boxes in order to preserve the programmed functions.</t>
  </si>
  <si>
    <t>Click the minus sign to the left to hide the directions.</t>
  </si>
  <si>
    <t>If you want to show or hide different sections you can click on the +/- buttons on the left and upper margins of the document.</t>
  </si>
  <si>
    <t>Phase 1: AS A TEAM, evaluate each standard to see if it meets the assessment criteria.  If it meets a criteria click the checkbox to mark it as true.  Provide a justification and cite evidence for your decision to aid clarity with other teams. *Only modify blue cells*</t>
  </si>
  <si>
    <t>Kindergarten Reading Standards</t>
  </si>
  <si>
    <t>During Phase 2 teams will set a cutoff score that filters out only the most relevant standards (with higher ESS. scores).   After reviewing the recommended amount of standards, they will mark the essential standards they want to confirm in the blue checkboxes.</t>
  </si>
  <si>
    <t>1st Grade Reading Standards</t>
  </si>
  <si>
    <t>Domains</t>
  </si>
  <si>
    <r>
      <t xml:space="preserve">The Reading E.S. Vertical Report imports the essential standards selected by each team.  The +/- buttons allow teams to change the view to facilitate different discussions.  </t>
    </r>
    <r>
      <rPr>
        <b/>
      </rPr>
      <t>No cells on this sheet need to be modified.</t>
    </r>
  </si>
  <si>
    <t>Ess.</t>
  </si>
  <si>
    <t>Standard</t>
  </si>
  <si>
    <t>Standard Description</t>
  </si>
  <si>
    <t>R</t>
  </si>
  <si>
    <t>E</t>
  </si>
  <si>
    <t>A</t>
  </si>
  <si>
    <t>L</t>
  </si>
  <si>
    <t>Justification</t>
  </si>
  <si>
    <t>Reading Foundational Skills</t>
  </si>
  <si>
    <t>Print Concepts</t>
  </si>
  <si>
    <t>2nd Grade Reading Standards</t>
  </si>
  <si>
    <t>RF.K.1</t>
  </si>
  <si>
    <t>RF.1.1</t>
  </si>
  <si>
    <t>Demonstrate understanding of the organization and basic features of print.</t>
  </si>
  <si>
    <t>Umbrella Standard</t>
  </si>
  <si>
    <t>Phonics and Word Recognition</t>
  </si>
  <si>
    <t>RF.K.1a</t>
  </si>
  <si>
    <t>Follow words from left to right, top to bottom, and page by page.</t>
  </si>
  <si>
    <t>Learning target standard for RF.K.1</t>
  </si>
  <si>
    <t>RF.K.1b</t>
  </si>
  <si>
    <t>Recognize that spoken words are represented in written language by specific sequences of letters.</t>
  </si>
  <si>
    <t>RF.2.3</t>
  </si>
  <si>
    <t>Know and apply grade-level phonics and word analysis skills in decoding words</t>
  </si>
  <si>
    <t>RF.K.1c</t>
  </si>
  <si>
    <t>Understand that words are separated by spaces in print.</t>
  </si>
  <si>
    <t>R-foundational for reading E-reading goes across every area
A- assessments require reading and through istation
L- applied in all subjects</t>
  </si>
  <si>
    <t>RF.2.3a</t>
  </si>
  <si>
    <t>Distinguish long and short vowels when reading regularly spelled onesyllable words.</t>
  </si>
  <si>
    <t>R - These skills are essential in teaching students to read. E- Reading foundation skills are an essential life skill. A- These skills are assessed on iStation. L- Reading is a skill that will be used in all subjects.</t>
  </si>
  <si>
    <t>RF.2.3b</t>
  </si>
  <si>
    <t>Know spelling-sound correspondences for additional common vowel teams.</t>
  </si>
  <si>
    <t>R-foundational for reading E-reading goes across every area</t>
  </si>
  <si>
    <t>RF.K.1d</t>
  </si>
  <si>
    <t>RF.1.1a</t>
  </si>
  <si>
    <t>RF.2.3c</t>
  </si>
  <si>
    <t>Decode regularly spelled two-syllable words with long vowels.</t>
  </si>
  <si>
    <t>A- assessments require reading and through istation</t>
  </si>
  <si>
    <t>Recognize the distinguishing features of a sentence (e.g., first word, capitalization, ending punctuation).</t>
  </si>
  <si>
    <t>RF.2.3d</t>
  </si>
  <si>
    <t>Decode words with common prefixes and suffixes.</t>
  </si>
  <si>
    <t>L- applied in all subjects</t>
  </si>
  <si>
    <t>RF.2.3e</t>
  </si>
  <si>
    <t>Identify words with inconsistent but common spelling-sound correspondences.</t>
  </si>
  <si>
    <t>RF.2.3f</t>
  </si>
  <si>
    <t>Recognize and read gradeappropriate irregularly spelled words.</t>
  </si>
  <si>
    <t>Recognize and name all upper- and lowercase letters of the alphabet.</t>
  </si>
  <si>
    <t>Phonological Awareness</t>
  </si>
  <si>
    <t>RF.1.2</t>
  </si>
  <si>
    <t>Demonstrate understanding of spoken words, syllables, and sounds (phonemes).</t>
  </si>
  <si>
    <t>RF.1.2a</t>
  </si>
  <si>
    <t>Distinguish long from short vowel sounds in spoken single-syllable words.</t>
  </si>
  <si>
    <t>Foundational for reading skills</t>
  </si>
  <si>
    <t>RF.1.2b</t>
  </si>
  <si>
    <t>Orally produce single-syllable words by blending sounds (phonemes), including consonant blends.</t>
  </si>
  <si>
    <t>RF.1.2c</t>
  </si>
  <si>
    <t>Isolate and pronounce initial, medial vowel, and final sounds (phonemes) in spoken single-syllable words.</t>
  </si>
  <si>
    <t>Fluency</t>
  </si>
  <si>
    <t>RF.1.2d</t>
  </si>
  <si>
    <t>Segment spoken single-syllable words into their complete sequence of individual sounds (phonemes).</t>
  </si>
  <si>
    <t>RF.K.2</t>
  </si>
  <si>
    <t>Umbrella Standard. Foundations for letter sounds</t>
  </si>
  <si>
    <t>RF.K.2a</t>
  </si>
  <si>
    <t>Recognize and produce rhyming words</t>
  </si>
  <si>
    <t>RF.2.4</t>
  </si>
  <si>
    <t>Read with sufficient accuracy and fluency to support comprehension.</t>
  </si>
  <si>
    <t>RF.1.3</t>
  </si>
  <si>
    <t>Know and apply grade-level phonics and word analysis skills in decoding words.</t>
  </si>
  <si>
    <t>RF.K.2b</t>
  </si>
  <si>
    <t>Count, pronounce, blend, and segment syllables in spoken words</t>
  </si>
  <si>
    <t>RF.1.3a</t>
  </si>
  <si>
    <t>Know the spelling-sound correspondences for common consonant digraphs.</t>
  </si>
  <si>
    <t>Learning target for RF.K.2</t>
  </si>
  <si>
    <t>RF.2.4a</t>
  </si>
  <si>
    <t>Read grade-level text with purpose and understanding</t>
  </si>
  <si>
    <t>RF.K.2c</t>
  </si>
  <si>
    <t>Blend and segment onsets and rimes of single-syllable spoken words.</t>
  </si>
  <si>
    <t>RF.1.3b</t>
  </si>
  <si>
    <t>Decode regularly spelled one-syllable words.</t>
  </si>
  <si>
    <t>RF.1.3c</t>
  </si>
  <si>
    <t>Know final -e and common vowel team conventions for representing long vowel sounds.</t>
  </si>
  <si>
    <t>RF.2.4b</t>
  </si>
  <si>
    <t>Read grade-level text orally with accuracy, appropriate rate, and expression on successive readings.</t>
  </si>
  <si>
    <t>RF.K.2d</t>
  </si>
  <si>
    <t>Isolate and pronounce the initial, medial vowel, and final sounds (phonemes) in three-phoneme (consonant-vowel-consonant, or CVC) words. (This does not include CVCs ending with /l/, /r/, or /x/.)</t>
  </si>
  <si>
    <t>RF.1.3d</t>
  </si>
  <si>
    <t>Use knowledge that every syllable must have a vowel sound to determine the number of syllables in a printed word.</t>
  </si>
  <si>
    <t>RF.K.2e</t>
  </si>
  <si>
    <t>RF.2.4c</t>
  </si>
  <si>
    <t>RF.1.3e</t>
  </si>
  <si>
    <t>Use context to confirm or self-correct word recognition and understanding, rereading as necessary.</t>
  </si>
  <si>
    <t>Add or substitute individual sounds (phonemes) in simple, one-syllable words to make new words</t>
  </si>
  <si>
    <t>Decode two-syllable words following basic patterns by breaking the words into syllables.</t>
  </si>
  <si>
    <t>Reading: Literature</t>
  </si>
  <si>
    <t>RF.1.3f</t>
  </si>
  <si>
    <t>Read words with inflectional endings.</t>
  </si>
  <si>
    <t>RF.1.3g</t>
  </si>
  <si>
    <t>Recognize and read gradeappropriate irregularly spelled words</t>
  </si>
  <si>
    <t>Key Ideas and Details</t>
  </si>
  <si>
    <t>RL.2.1</t>
  </si>
  <si>
    <t>Ask and answer such questions as who, what, where, when, why, and how to demonstrate understanding of key details in a text.</t>
  </si>
  <si>
    <t>RL.2.2</t>
  </si>
  <si>
    <t>Recount stories, including fables and folktales from diverse cultures, and determine their central message, lesson, or moral.</t>
  </si>
  <si>
    <t>Essential for comprehension
&amp; RL.2.3 written as learning targets</t>
  </si>
  <si>
    <t>RF.K.3</t>
  </si>
  <si>
    <t>RL.2.3</t>
  </si>
  <si>
    <t>Describe how characters in a story respond to major events and challenges</t>
  </si>
  <si>
    <t xml:space="preserve">Essential for the foundations of reading </t>
  </si>
  <si>
    <t>RF.K.3a</t>
  </si>
  <si>
    <t>Demonstrate basic knowledge of one to-one letter-sound correspondences by producing the primary sound or many of the most frequent sounds for each consonant</t>
  </si>
  <si>
    <t>Learning target for RF.K.3</t>
  </si>
  <si>
    <t>RF.1.4</t>
  </si>
  <si>
    <t>Written as learning target</t>
  </si>
  <si>
    <t>RF.K.3b</t>
  </si>
  <si>
    <t>Craft and Structure</t>
  </si>
  <si>
    <t>Associate the long and short sounds with the common spellings (graphemes) for the five major vowels.</t>
  </si>
  <si>
    <t>RF.K.3c</t>
  </si>
  <si>
    <t>RF.1.4a</t>
  </si>
  <si>
    <t>Read common high-frequency words by sight (e.g., the, of, to, you, she, my, is, are, do, does).</t>
  </si>
  <si>
    <t>Read grade-level text with purpose and understanding.</t>
  </si>
  <si>
    <t>RF.K.3d</t>
  </si>
  <si>
    <t>RF.1.4b</t>
  </si>
  <si>
    <t>Distinguish between similarly spelled words by identifying the sounds of the letters that differ.</t>
  </si>
  <si>
    <t>RL.2.4</t>
  </si>
  <si>
    <t>Describe how words and phrases (e.g., regular beats, alliteration, rhymes, repeated lines) supply rhythm and meaning in a story, poem, or song.</t>
  </si>
  <si>
    <t>RF.1.4c</t>
  </si>
  <si>
    <t>Figurative language will be reinforced in 3rd grade, not essential for 2nd</t>
  </si>
  <si>
    <t>RL.2.5</t>
  </si>
  <si>
    <t>Describe the overall structure of a story, including describing how the beginning introduces the story and the ending concludes the action</t>
  </si>
  <si>
    <t>RL.2.6</t>
  </si>
  <si>
    <t>Acknowledge differences in the points of view of characters, including by speaking in a different voice for each character when reading dialogue aloud.</t>
  </si>
  <si>
    <t>RF.K.4</t>
  </si>
  <si>
    <t>Integration of Knowledge and Ideas</t>
  </si>
  <si>
    <t>Read emergent-reader texts with purpose and understanding.</t>
  </si>
  <si>
    <t>RL.1.1</t>
  </si>
  <si>
    <t>Ask and answer questions about key details in a text.</t>
  </si>
  <si>
    <t xml:space="preserve">Print concept. </t>
  </si>
  <si>
    <t>RL.1.2</t>
  </si>
  <si>
    <t>Retell stories, including key details, and demonstrate understanding of their central message or lesson.</t>
  </si>
  <si>
    <t>RL.2.7</t>
  </si>
  <si>
    <t>Use information gained from the illustrations and words in a print or digital text to demonstrate understanding of its characters, setting, or plot.</t>
  </si>
  <si>
    <t>Write as learning target for RL.2.2</t>
  </si>
  <si>
    <t>Foundational for reading comprehension, assessed on Istation
RL.1.1 &amp;  RL.1.3 will be learning targets</t>
  </si>
  <si>
    <t>RL.2.9</t>
  </si>
  <si>
    <t>Compare and contrast two or more versions of the same story (e.g., Cinderella stories) by different authors or from different cultures.</t>
  </si>
  <si>
    <t>RL.1.3</t>
  </si>
  <si>
    <t xml:space="preserve">Describe characters, settings, and major eve.nts in a story, using key details
</t>
  </si>
  <si>
    <t>Range of Reading and Level of Text Complexity</t>
  </si>
  <si>
    <t>RL.1.4</t>
  </si>
  <si>
    <t>Identify words and phrases in stories or poems that suggest feelings or appeal to the senses.</t>
  </si>
  <si>
    <t>RL.1.5</t>
  </si>
  <si>
    <t>Explain major differences between books that tell stories and books that give information, drawing on a wide reading of a range of text types.</t>
  </si>
  <si>
    <t>RL.K.1</t>
  </si>
  <si>
    <t>With prompting and support, ask and answer questions about key details in a text.</t>
  </si>
  <si>
    <t>Essential for students to understand the difference between fiction and nonfiction</t>
  </si>
  <si>
    <t>RL.1.6</t>
  </si>
  <si>
    <t>Identify who is telling the story at various points in a text.</t>
  </si>
  <si>
    <t>Learning target for RL.K.2. Kindergarten report card</t>
  </si>
  <si>
    <t>RL.2.10</t>
  </si>
  <si>
    <t>With prompting and support, read prose and poetry of appropriate complexity for grade 2.</t>
  </si>
  <si>
    <t>RL.K.2</t>
  </si>
  <si>
    <t>With prompting and support, retell familiar stories, including key details.</t>
  </si>
  <si>
    <t>Done with teacher support, not essential??</t>
  </si>
  <si>
    <t xml:space="preserve">Essential for reading comprehension. Umbrella standard </t>
  </si>
  <si>
    <t>RL.1.7</t>
  </si>
  <si>
    <t>Use illustrations and details in a story to describe its characters, setting, or events</t>
  </si>
  <si>
    <t>Similar to RL.1.3, will use as learning target</t>
  </si>
  <si>
    <t>RL.K.3</t>
  </si>
  <si>
    <t>With prompting and support, identify characters, settings, and major events in a story.</t>
  </si>
  <si>
    <t>RL.1.9</t>
  </si>
  <si>
    <t>Compare and contrast the adventures and experiences of characters in stories.</t>
  </si>
  <si>
    <t>Learning target for RL.K.2. KIndergarten report card</t>
  </si>
  <si>
    <t>RI.2.1</t>
  </si>
  <si>
    <t>Written as learning target for RI.2.6</t>
  </si>
  <si>
    <t>Reading Informational Skills</t>
  </si>
  <si>
    <t>RL.1.10</t>
  </si>
  <si>
    <t>With prompting and support, read prose and poetry of appropriate complexity for grade 1.</t>
  </si>
  <si>
    <t>RI.1.1</t>
  </si>
  <si>
    <t>RL.K.4</t>
  </si>
  <si>
    <t>Ask and answer questions about unknown words in a text.</t>
  </si>
  <si>
    <t>Identified RI similar standard as essential 
Could be written as learning target for RI.K.4?</t>
  </si>
  <si>
    <t>RL.K.5</t>
  </si>
  <si>
    <t>Recognize common types of texts (e.g., storybooks, poems).</t>
  </si>
  <si>
    <t>RI.1.2</t>
  </si>
  <si>
    <t>RI.2.2</t>
  </si>
  <si>
    <t>Identify the main topic and retell key details of a text.</t>
  </si>
  <si>
    <t>Identify the main topic of a multiparagraph text as well as the focus of specific paragraphs within the text.</t>
  </si>
  <si>
    <t xml:space="preserve">Introduced in K, essential in 1st </t>
  </si>
  <si>
    <t>Important for comprehension of nonfiction
RI.1.1 as learning target</t>
  </si>
  <si>
    <t>RL.K.6</t>
  </si>
  <si>
    <t>With prompting and support, name the author and illustrator of a story and define the role of each in telling the story.</t>
  </si>
  <si>
    <t>RI.1.3</t>
  </si>
  <si>
    <t>Describe the connection between two individuals, events, ideas, or pieces of information in a text.</t>
  </si>
  <si>
    <t>RI.2.3</t>
  </si>
  <si>
    <t>Describe the connection between a series of historical events, scientific ideas or concepts, or steps in technical procedures in a text.</t>
  </si>
  <si>
    <t>RL.K.7</t>
  </si>
  <si>
    <t>With prompting and support, describe the relationship between illustrations and the story in which they appear (e.g., what moment in a story an illustration depicts).</t>
  </si>
  <si>
    <t>Write as learning target for K.2 
Students should understand that both the pictures and the words are important in comprehension</t>
  </si>
  <si>
    <t>RI.2.4</t>
  </si>
  <si>
    <t>Determine the meaning of words and phrases in a text relevant to a grade 2 topic or subject area.</t>
  </si>
  <si>
    <t>Vocabulary/Context clues</t>
  </si>
  <si>
    <t>RI.2.5</t>
  </si>
  <si>
    <t>Know and use various text features (e.g., captions, bold print, subheadings, glossaries, indexes, electronic menus, icons) to locate key facts or information in a text efficiently.</t>
  </si>
  <si>
    <t>RL.K.9</t>
  </si>
  <si>
    <t>With prompting and support, compare and contrast the adventures and experiences of characters in familiar stories.</t>
  </si>
  <si>
    <t xml:space="preserve">Essential in 1st, new text features introduced </t>
  </si>
  <si>
    <t>RI.1.4</t>
  </si>
  <si>
    <t>Ask and answer questions to help determine or clarify the meaning of words and phrases in a text.</t>
  </si>
  <si>
    <t>RI.2.6</t>
  </si>
  <si>
    <t>Identify the main purpose of a text, including what the author wants to answer, explain, or describe.</t>
  </si>
  <si>
    <t>Essential overall (Informational "umbrella standard")
Essential for understanding nonfiction text
RL.2.1 &amp; RL.2.2 written as learning target</t>
  </si>
  <si>
    <t xml:space="preserve">Vocabulary (Context clues) </t>
  </si>
  <si>
    <t>RI.1.5</t>
  </si>
  <si>
    <t>Know and use various text features (e.g., headings, tables of contents, glossaries, electronic menus, icons) to locate key facts or information in a text</t>
  </si>
  <si>
    <t>RL.K.10</t>
  </si>
  <si>
    <t>Actively engage in group reading activities with purpose and understanding.</t>
  </si>
  <si>
    <t xml:space="preserve">Text features are used at all grade levels </t>
  </si>
  <si>
    <t>RI.2.7</t>
  </si>
  <si>
    <t>Explain how specific images (e.g., a diagram showing how a machine works) contribute to and clarify a text.</t>
  </si>
  <si>
    <t>Use as learning target for RI.2.5
Students must know that both the words and the illustrations give meaning, how to apply text features</t>
  </si>
  <si>
    <t>RI.1.6</t>
  </si>
  <si>
    <t>Distinguish between information provided by pictures or other illustrations and information provided by the words in a text.</t>
  </si>
  <si>
    <t>RI.1.7</t>
  </si>
  <si>
    <t>Use the illustrations and details in a text to describe its key ideas.</t>
  </si>
  <si>
    <t xml:space="preserve">Use as learning target for RI.1.2
Students must know that both the words and the illustrations give meaning </t>
  </si>
  <si>
    <t>RI.2.8</t>
  </si>
  <si>
    <t>Describe how reasons support specific points the author makes in a text.</t>
  </si>
  <si>
    <t>RI.1.8</t>
  </si>
  <si>
    <t>Identify the reasons an author gives to support points in a text.</t>
  </si>
  <si>
    <t>RI.2.9</t>
  </si>
  <si>
    <t>Compare and contrast the most important points presented by two texts on the same topic.</t>
  </si>
  <si>
    <t>RI.K.1</t>
  </si>
  <si>
    <t>Did not determine the similar RL standard as essential</t>
  </si>
  <si>
    <t>RI.1.9</t>
  </si>
  <si>
    <t>Identify basic similarities in and differences between two texts on the same topic (e.g., in illustrations, descriptions, or procedures).</t>
  </si>
  <si>
    <t xml:space="preserve">Did not determine the similar RL standard as essential </t>
  </si>
  <si>
    <t>Learning target for RI.K.2</t>
  </si>
  <si>
    <t>RI.K.2</t>
  </si>
  <si>
    <t>With prompting and support, identify the main topic and retell key details of a text.</t>
  </si>
  <si>
    <t>Umbrella standard</t>
  </si>
  <si>
    <t>RI.K.3</t>
  </si>
  <si>
    <t>With prompting and support, describe the connection between two individuals, events, ideas, or pieces of information in a text.</t>
  </si>
  <si>
    <t>RI.2.10</t>
  </si>
  <si>
    <t>By the end of year, read and comprehend informational texts, including history/social studies, science, and technical texts, in the grades 2–3 text complexity band proficiently, with scaffolding as needed at the high end of the range</t>
  </si>
  <si>
    <t>RI.1.10</t>
  </si>
  <si>
    <t>With prompting and support, read informational texts appropriately complex for grade 1.</t>
  </si>
  <si>
    <t>RI.K.4</t>
  </si>
  <si>
    <t>With prompting and support, ask and answer questions about unknown words in a text.</t>
  </si>
  <si>
    <t>Current</t>
  </si>
  <si>
    <t>RI.K.5</t>
  </si>
  <si>
    <t>Identify the front cover, back cover, and title page of a book.</t>
  </si>
  <si>
    <t>RI.K.6</t>
  </si>
  <si>
    <t>Name the author and illustrator of a text and define the role of each in presenting the ideas or information in a text.</t>
  </si>
  <si>
    <t>Phase 2:  Set a cutoff score to filter out only the most relevant standards.  The goal is to have no more than a third of your standards designated essential.  Refer to the chart on the right for recommendations. USE CHECKBOX ON RIGHT TO CONFIRM STANDARD. *Only modify blue cells*</t>
  </si>
  <si>
    <t>Total</t>
  </si>
  <si>
    <t>Recommended</t>
  </si>
  <si>
    <t>RI.K.7</t>
  </si>
  <si>
    <t>With prompting and support, describe the relationship between illustrations and the text in which they appear (e.g., what person, place, thing, or idea in the text an illustration depicts).</t>
  </si>
  <si>
    <t>RI.K.8</t>
  </si>
  <si>
    <t>With prompting and support, identify the reasons an author gives to support points in a text.</t>
  </si>
  <si>
    <t>RI.K.9</t>
  </si>
  <si>
    <t>With prompting and support, identify basic similarities in and differences between two texts on the same topic (e.g., in illustrations, descriptions, or procedures).</t>
  </si>
  <si>
    <t>RI.K.10</t>
  </si>
  <si>
    <t>Set Cutoff Here-----------&gt;</t>
  </si>
  <si>
    <t>Phase 2:  Set a cutoff score to filter out only the most relevant standards.  The goal is to have no more than a third of your standards designated essential.  Refer to the chart on the right for recommendations. *Only modify blue cells*</t>
  </si>
  <si>
    <t>Potential Essential Standards</t>
  </si>
  <si>
    <t>Confirm</t>
  </si>
  <si>
    <t>3rd Grade Reading Standards</t>
  </si>
  <si>
    <t>RF.3.3</t>
  </si>
  <si>
    <t xml:space="preserve">R - Applied going forward
E - Throughout the year
L - Decoding
</t>
  </si>
  <si>
    <t>RF.3.3a</t>
  </si>
  <si>
    <t>Identify and know the meaning of the most common prefixes and derivational suffixes.</t>
  </si>
  <si>
    <t>R - Applied going forward
E - Used throughout the year</t>
  </si>
  <si>
    <t>RF.3.3b</t>
  </si>
  <si>
    <t>Decode words with common Latin suffixes.</t>
  </si>
  <si>
    <t>R - Applied going forward</t>
  </si>
  <si>
    <t>RF.3.3c</t>
  </si>
  <si>
    <t>Decode multisyllable words.</t>
  </si>
  <si>
    <t>RF.3.3d</t>
  </si>
  <si>
    <t>Read grade-appropriate irregularly spelled words.</t>
  </si>
  <si>
    <t>RF.3.4</t>
  </si>
  <si>
    <t>Phase 1: AS A TEAM, evaluate each standard to see if it meets the assessment criteria.  If it meets a criteria click the checkbox to mark it as true.  Provide a justification and cite evidence for your decision to aid clarity with other teams.</t>
  </si>
  <si>
    <t>Read with sufficient accuracy and fluency to support comprehension</t>
  </si>
  <si>
    <t>R - Applied going forward
E - Fluency affects comprehension in other content
L - Constantly used in all content</t>
  </si>
  <si>
    <t>RF.3.4a</t>
  </si>
  <si>
    <t>R - Applied going forward
E - Used throughout the year
A - Overall purpose of our assessment
L - Used in EVERYTHING</t>
  </si>
  <si>
    <t>4th Grade Reading Standards</t>
  </si>
  <si>
    <t>RF.3.4b</t>
  </si>
  <si>
    <t>Read grade-level prose and poetry orally with accuracy, appropriate rate, and expression on successive readings.</t>
  </si>
  <si>
    <t>5th Grade Reading Standards</t>
  </si>
  <si>
    <t>RF.3.4c</t>
  </si>
  <si>
    <t>R - Multisyllable words
E - Active reading, used constantly
L - Used in all, especially informational</t>
  </si>
  <si>
    <t>RL.3.1</t>
  </si>
  <si>
    <t>Ask and answer questions to demonstrate understanding of a text, referring explicitly to the text as the basis for the answers.</t>
  </si>
  <si>
    <t>R - Used in all content and grade levels
E - CONSTANT use (in life) (and test)
A - ACT Aspire, and all other tests
L - Used in SS, Science, Math</t>
  </si>
  <si>
    <t>RL.3.2</t>
  </si>
  <si>
    <t>Recount stories, including fables, folktales, and myths from diverse cultures; determine the central message, lesson, or moral and explain how it is conveyed through key details in the text.</t>
  </si>
  <si>
    <t>R - Used in future grades
E - Done all year
A - Likely to be assessed for 3rd</t>
  </si>
  <si>
    <t>RL.3.3</t>
  </si>
  <si>
    <t>Describe characters in a story (e.g., their traits, motivations, or feelings) and explain how their actions contribute to the sequence of events.</t>
  </si>
  <si>
    <t>R - To be used in other grade levels
E - All year, especially in writing and reading
A - Many questions about these components
L - Could be used in Writing and SS</t>
  </si>
  <si>
    <t>RL.3.4</t>
  </si>
  <si>
    <t>Determine the meaning of words and phrases as they are used in a text, distinguishing literal from nonliteral language.</t>
  </si>
  <si>
    <t>RF.4.3</t>
  </si>
  <si>
    <t>R - Prereq for the next year
E - FOREVER
A - Tested!
L - In all subjects it is used!</t>
  </si>
  <si>
    <t>RL.3.5</t>
  </si>
  <si>
    <t>Refer to parts of stories, dramas, and poems when writing or speaking about a text, using terms such as chapter, scene, and stanza; describe how each successive part builds on earlier sections.</t>
  </si>
  <si>
    <t>RL.3.6</t>
  </si>
  <si>
    <t>Distinguish their own point of view from that of the narrator or those of the characters.</t>
  </si>
  <si>
    <t>R - Prereq for the following years
E - Constant
A - Possibly?</t>
  </si>
  <si>
    <t>RL.3.7</t>
  </si>
  <si>
    <t>Explain how specific aspects of a text’s illustrations contribute to what is conveyed by the words in a story (e.g., create mood, emphasize aspects of a character or setting).</t>
  </si>
  <si>
    <t>RF.5.3</t>
  </si>
  <si>
    <t>R - Used in other grade levels</t>
  </si>
  <si>
    <t>R - Applied going forward 
E - Throughout the year 
L - Decoding</t>
  </si>
  <si>
    <t>RL.3.9</t>
  </si>
  <si>
    <t>Compare and contrast the themes, settings, and plots of stories written by the same author about the same or similar characters (e.g., in books from a series).</t>
  </si>
  <si>
    <t>R- helps with vocabulary development; E- can apply skills to words learned in other grades; L- Can use skills to determine vocabulary in other subjects</t>
  </si>
  <si>
    <t>RL.3.10</t>
  </si>
  <si>
    <t>By the end of the year, read and comprehend literature, including stories, dramas, and poetry, at the high end of the grades 2–3 text complexity band independently and proficiently.</t>
  </si>
  <si>
    <t>RF.4.3a</t>
  </si>
  <si>
    <t>RF.5.3a</t>
  </si>
  <si>
    <t>Use combined knowledge of all lettersound correspondences, syllabication patterns, and morphology (e.g., roots and affixes) to read accurately unfamiliar multisyllabic words in context and out of context.</t>
  </si>
  <si>
    <t>This will be the focus of the teacher.</t>
  </si>
  <si>
    <t>Use combined knowledge of all lettersound correspondences, syllabication patterns, and morphology (e.g., roots and affixes) to read accurately unfamiliar multisyllabic words in context and out of context</t>
  </si>
  <si>
    <t>RI.3.1</t>
  </si>
  <si>
    <t>Ask and answer questions to demonstrate understanding of a text, referring explicitly to the text as the basis for the answers</t>
  </si>
  <si>
    <t>RI.3.2</t>
  </si>
  <si>
    <t>Determine the main idea of a text; recount the key details and explain</t>
  </si>
  <si>
    <t>RF.5.4</t>
  </si>
  <si>
    <t>This standard is needed in order for students to read more complex text</t>
  </si>
  <si>
    <t>RF.5.4a</t>
  </si>
  <si>
    <t>RI.3.3</t>
  </si>
  <si>
    <t>Describe the relationship between a series of historical events, scientific ideas or concepts, or steps in technical procedures in a text, using language that pertains to time, sequence, and cause/effect.</t>
  </si>
  <si>
    <t>Less focus on describe?</t>
  </si>
  <si>
    <t>RF.5.4b</t>
  </si>
  <si>
    <t>Read grade-level prose and poetry orally with accuracy, appropriate rate, and expression</t>
  </si>
  <si>
    <t>RI.3.4</t>
  </si>
  <si>
    <t>Determine the meaning of general academic and domain-specific words and phrases in a text relevant to a grade 3 topic or subject area.</t>
  </si>
  <si>
    <t>RF.5.4c</t>
  </si>
  <si>
    <t>R - A combination of everything from third and applies going forward
E - Will be used throughout the year
L - multisyllabic words</t>
  </si>
  <si>
    <t>Helps with vocabulary understanding and for when students are reading more complex text</t>
  </si>
  <si>
    <t>RI.3.5</t>
  </si>
  <si>
    <t>Use text features and search tools (e.g., key words, sidebars, hyperlinks) to locate information relevant to a given topic efficiently.</t>
  </si>
  <si>
    <t>Focus on the use of text features</t>
  </si>
  <si>
    <t>RI.3.6</t>
  </si>
  <si>
    <t>Distinguish their own point of view from that of the author of a text.</t>
  </si>
  <si>
    <t>E - "Real World"</t>
  </si>
  <si>
    <t>RF.4.4</t>
  </si>
  <si>
    <t>RI.3.7</t>
  </si>
  <si>
    <t>Use information gained from illustrations (e.g., maps, photographs) and the words in a text to demonstrate understanding of the text (e.g., where, when, why, and how key events occur).</t>
  </si>
  <si>
    <t>RI.3.8</t>
  </si>
  <si>
    <t>Describe the logical connection between particular sentences and paragraphs in a text (e.g., comparison, cause/effect, first/second/ third in a sequence).</t>
  </si>
  <si>
    <t>RI.3.9</t>
  </si>
  <si>
    <t>Compare and contrast the most important points and key details presented in two texts on the same topic.</t>
  </si>
  <si>
    <t>RF.4.4a</t>
  </si>
  <si>
    <t>RI.3.10</t>
  </si>
  <si>
    <t>By the end of the year, read and comprehend informational texts, including history/social studies, science, and technical texts, at the high end of the grades 2–3 text complexity band independently and proficiently.</t>
  </si>
  <si>
    <t>RF.4.4b</t>
  </si>
  <si>
    <t>Read grade-level prose and poetry orally with accuracy, appropriate rate, and expression on successive readings</t>
  </si>
  <si>
    <t>Teacher responsibility</t>
  </si>
  <si>
    <t>RL.5.1</t>
  </si>
  <si>
    <t>Quote accurately from a text when explaining what the text says explicitly and when drawing inferences from the text.</t>
  </si>
  <si>
    <t>RF.4.4c</t>
  </si>
  <si>
    <t>R- in 6th students are expected to cite; E- students will be asked to provide evidence anytime they answer questions; A- we can assume; L- no leverage since based on literature</t>
  </si>
  <si>
    <t>RL.5.2</t>
  </si>
  <si>
    <t>Determine a theme of a story, drama, or poem from details in the text, including how characters in a story or drama respond to challenges or how the speaker in a poem reflects upon a topic; summarize the text.</t>
  </si>
  <si>
    <t>R- Need in 5th because 6th expects students to explain how author showed theme and to do RL.5.9; E- as years go on, expectations become more complex; A- we assume it is; L- summarizing and theme do not have leverage in other subjects because it is based on fiction</t>
  </si>
  <si>
    <t>RL.4.1</t>
  </si>
  <si>
    <t>Refer to details and examples in a text when explaining what the text says explicitly and when drawing inferences from the text.</t>
  </si>
  <si>
    <t>R - Used in all content and grade levels, inference
E - CONSTANT use (in life) (and test)
A - ACT Aspire, and all other tests
L - Used in SS, Science, Math</t>
  </si>
  <si>
    <t>RL.5.3</t>
  </si>
  <si>
    <t>Compare and contrast two or more characters, settings, or events in a story or drama, drawing on specific details in the text (e.g., how characters interact).</t>
  </si>
  <si>
    <t>RL.4.2</t>
  </si>
  <si>
    <t>Determine a theme of a story, drama, or poem from details in the text; summarize the text.</t>
  </si>
  <si>
    <t>R- need to understand characters, settings, and events in order to later show how they interact; E- builds as text becomes more complex; A- we can assume; L- not used in other subjects due to being fiction</t>
  </si>
  <si>
    <t xml:space="preserve">R - To be used in future grades 
E - Used throughout, heavy introduction
A - Determine a theme IS, NOT summarize
</t>
  </si>
  <si>
    <t>RL.4.3</t>
  </si>
  <si>
    <t>Describe in depth a character, setting, or event in a story or drama, drawing on specific details in the text (e.g., a character’s thoughts, words, or actions).</t>
  </si>
  <si>
    <t>R - Applies in 5th, "bump it up"
E - Used throughout
A - To be assessed in ACT</t>
  </si>
  <si>
    <t>RL.5.4</t>
  </si>
  <si>
    <t>Determine the meaning of words and phrases as they are used in a text, including figurative language such as metaphors and similes</t>
  </si>
  <si>
    <t>RL.4.4</t>
  </si>
  <si>
    <t>Determine the meaning of words and phrases as they are used in a text, including those that allude to significant characters found in mythology (e.g., Herculean).</t>
  </si>
  <si>
    <t>R- need to know because 6th grade adds in connotation; E- understanding language deepens comprehension; A- we can assume; L- not used in other subjects because it is based on fiction</t>
  </si>
  <si>
    <t>R - Prereq for the next year 
E - FOREVER 
A - Tested! 
L - In all subjects it is used!</t>
  </si>
  <si>
    <t>RL.5.5</t>
  </si>
  <si>
    <t>Explain how a series of chapters, scenes, or stanzas fits together to provide the overall structure of a particular story, drama, or poem.</t>
  </si>
  <si>
    <t>RL.4.5</t>
  </si>
  <si>
    <t>Explain major differences between poems, drama, and prose, and refer to the structural elements of poems (e.g., verse, rhythm, meter) and drama (e.g., casts of characters, settings, descriptions, dialogue, stage directions) when writing or speaking about a text.</t>
  </si>
  <si>
    <t>R- need to know because 6th asks students analyze how section was developed; E- students are expected to analyze sections meaning as text becomes more complex; A- we can assume; L- not used in other subjects because it is based on fiction</t>
  </si>
  <si>
    <t>RL.5.6</t>
  </si>
  <si>
    <t>Describe how a narrator’s or speaker’s point of view influences how events are described.</t>
  </si>
  <si>
    <t>R- need to know because 6th expects students to explain how POV was developed; E- as text becomes more complex, students will be expected to analyze and compare and contrast POV; A- we can assume; L- not used in other subjects due to being fiction</t>
  </si>
  <si>
    <t>RL.4.6</t>
  </si>
  <si>
    <t>Compare and contrast the point of view from which different stories are narrated, including the difference between first- and third-person narrations.</t>
  </si>
  <si>
    <t>RL.5.7</t>
  </si>
  <si>
    <t>Analyze how visual and multimedia elements contribute to the meaning, tone, or beauty of a text (e.g., graphic novel, multimedia presentation of fiction, folktale, myth, poem).</t>
  </si>
  <si>
    <t>R - Prereq for the following years 
E - Constant 
A - More than likely</t>
  </si>
  <si>
    <t xml:space="preserve">R- students need in order to compare a text to a more visual form of text; E- not much endurance because the only change is the type of visual; A- not assessed because there are no videos on the assessment; L- not used in other subjects due to fiction  </t>
  </si>
  <si>
    <t>RL.5.9</t>
  </si>
  <si>
    <t>Compare and contrast stories in the same genre (e.g., mysteries and adventure stories) on their approaches to similar themes and topics.</t>
  </si>
  <si>
    <t>RL.4.7</t>
  </si>
  <si>
    <t>Make connections between the text of a story or drama and a visual or oral presentation of the text, identifying where each version reflects specific descriptions and directions in the text.</t>
  </si>
  <si>
    <t>R- need this in order to compare different genres in 6th; E- as texts become more complex, students are expected analyze how the author addresses theme; A- we can assume; L- not used in other subjects due to being fiction</t>
  </si>
  <si>
    <t>RL.4.9</t>
  </si>
  <si>
    <t>Compare and contrast the treatment of similar themes and topics (e.g., opposition of good and evil) and patterns of events (e.g., the quest) in stories, myths, and traditional literature from different cultures.</t>
  </si>
  <si>
    <t>RL.5.10</t>
  </si>
  <si>
    <t>By the end of the year, read and comprehend literature, including stories, dramas, and poetry, at the high end of the grades 4–5 text complexity band independently and proficiently.</t>
  </si>
  <si>
    <t>RL.4.10</t>
  </si>
  <si>
    <t>By the end of the year, read and comprehend literature, including stories, dramas, and poetry, in the grades 4–5 text complexity band proficiently, with scaffolding as needed at the high end of the range.</t>
  </si>
  <si>
    <t>R- Need to do because text will become more complex; E- if not proficient, text will become more complex as the years progress; A- are provided grade level text; L- not used in other subjects</t>
  </si>
  <si>
    <t>This will be the focus of the teacher</t>
  </si>
  <si>
    <t>RI.4.1</t>
  </si>
  <si>
    <t>RI.5.1</t>
  </si>
  <si>
    <t xml:space="preserve">R- 6th is required to cite the texts; E- as texts become more complex, students are expected to cite multiple texts in their analysis; A- we can assume; L- can use in all subjects  </t>
  </si>
  <si>
    <t>RI.5.2</t>
  </si>
  <si>
    <t>Determine two or more main ideas of a text and explain how they are supported by key details; summarize the text.</t>
  </si>
  <si>
    <t>R- need this in order to determine central idea; E- as texts become more complex, students will be expected to analyze and explain how ideas were developed and summarize without judgment; A- we can assume; L- can be used in other subjects</t>
  </si>
  <si>
    <t>RI.4.2</t>
  </si>
  <si>
    <t>Determine the main idea of a text and explain how it is supported by key details; summarize the text.</t>
  </si>
  <si>
    <t>RI.5.3</t>
  </si>
  <si>
    <t>Explain the relationships or interactions between two or more individuals, events, ideas, or concepts in a historical, scientific, or technical text based on specific information in the text.</t>
  </si>
  <si>
    <t>R- 6th grade expects students to analyze how people and events are introduced; E- students will be expected to apply skill to more complex texts; A- we can assume; L- can be used in other subjects</t>
  </si>
  <si>
    <t>RI.4.3</t>
  </si>
  <si>
    <t>Explain events, procedures, ideas, or concepts in a historical, scientific, or technical text, including what happened and why, based on specific information in the text.</t>
  </si>
  <si>
    <t>RI.5.4</t>
  </si>
  <si>
    <t>Determine the meaning of general academic and domain-specific words and phrases in a text relevant to a grade 5 topic or subject area.</t>
  </si>
  <si>
    <t>R- 6th grade expects students to understand how figurative and connotative language are used in informational text; E- as texts become more complex, students will have to analyze the impact of language in a text; A- we can assume; L- can be used in other subjects</t>
  </si>
  <si>
    <t>RI.5.5</t>
  </si>
  <si>
    <t>Compare and contrast the overall structure (e.g., chronology, comparison, cause/effect, problem/ solution) of events, ideas, concepts, or information in two or more texts</t>
  </si>
  <si>
    <t>RI.4.4</t>
  </si>
  <si>
    <t>Determine the meaning of general academic and domain-specific words or phrases in a text relevant to a grade 4 topic or subject area.</t>
  </si>
  <si>
    <t>R- 6th grade expects students to analyze text structure and how it was developed; E- students have to apply the skill to more complex texts; A- we can assume; L- used in other subjects</t>
  </si>
  <si>
    <t>RI.5.6</t>
  </si>
  <si>
    <t>Analyze multiple accounts of the same event or topic, noting important similarities and differences in the point of view they represent.</t>
  </si>
  <si>
    <t>RI.4.5</t>
  </si>
  <si>
    <t>Describe the overall structure (e.g., chronology, comparison, cause/effect, problem/solution) of events, ideas, concepts, or information in a text or part of a text.</t>
  </si>
  <si>
    <t>R- 6th grade expects to explain how POV is shown in text; E- students will have to explain how author's distinguish their POV from others in more complex text; A- we can assume; L- can be used in other subjects</t>
  </si>
  <si>
    <t>RI.4.6</t>
  </si>
  <si>
    <t>Compare and contrast a firsthand and secondhand account of the same event or topic; describe the differences in focus and the information provided.</t>
  </si>
  <si>
    <t>RI.5.7</t>
  </si>
  <si>
    <t>Draw on information from multiple print or digital sources, demonstrating the ability to locate an answer to a question quickly or to solve a problem efficiently.</t>
  </si>
  <si>
    <t>R- 6th grade has to integrate information from other sources; E- students can use various formats to understand text; A- we can assume; L- can be used in other subjects</t>
  </si>
  <si>
    <t>RI.5.8</t>
  </si>
  <si>
    <t>Explain how an author uses reasons and evidence to support particular points in a text, identifying which reasons and evidence support which point(s).</t>
  </si>
  <si>
    <t>R- 6th grade expects students to trace and evaluate an argument; E- this skill is a main component of the ACT; A- we can assume; L- can be used in other subjects</t>
  </si>
  <si>
    <t>RI.4.7</t>
  </si>
  <si>
    <t>RI.5.9</t>
  </si>
  <si>
    <t>Interpret information presented visually, orally, or quantitatively (e.g., in charts, graphs, diagrams, time lines, animations, or interactive elements on Web pages) and explain how the information contributes to an understanding of the text in which it appears</t>
  </si>
  <si>
    <t>Integrate information from several texts on the same topic in order to write or speak about the subject knowledgeably.</t>
  </si>
  <si>
    <t>R- needed in order to do any type of research writing; E- when applied to writing; A- we can assume; L- can be used in other subjects</t>
  </si>
  <si>
    <t>RI.4.8</t>
  </si>
  <si>
    <t>Explain how an author uses reasons and evidence to support particular points in a text.</t>
  </si>
  <si>
    <t>Writing emphasis</t>
  </si>
  <si>
    <t>RI.4.9</t>
  </si>
  <si>
    <t>Integrate information from two texts on the same topic in order to write or speak about the subject knowledgeably.</t>
  </si>
  <si>
    <t>RI.5.10</t>
  </si>
  <si>
    <t>By the end of the year, read and comprehend informational texts, including history/social studies, science, and technical texts, at the high end of the grades 4–5 text complexity band independently and proficiently.</t>
  </si>
  <si>
    <t>DOK 3</t>
  </si>
  <si>
    <t xml:space="preserve">R- need to be proficient in order to comprehend more complex text; E- need to be proficient in order to comprehend more complex text; A- it is assessed; L- can be applied to other subjects </t>
  </si>
  <si>
    <t>RI.4.10</t>
  </si>
  <si>
    <t>By the end of year, read and comprehend informational texts, including history/social studies, science, and technical texts, in the grades 4–5 text complexity band proficiently, with scaffolding as needed at the high end of the range.</t>
  </si>
  <si>
    <t>Teacher focus</t>
  </si>
  <si>
    <t>Phase 2:  Set a cutoff score to filter out only the most relevant standards.  The goal is to have no more than a third of your standards designated essential.  Refer to the chart on the right for recommendations. USE CHECKBOX ON RIGHT TO CONFIRM STANDARD.</t>
  </si>
  <si>
    <t>6th Grade Reading Standards</t>
  </si>
  <si>
    <t>RL.6.1</t>
  </si>
  <si>
    <t>Cite textual evidence to support analysis of what the text says explicitly as well as inferences drawn from the text.</t>
  </si>
  <si>
    <t>R-in 7th students are expected to cite several pieces; E-Students will be asked to provide evidence anytime they answer questions; A-students are asked to provide evidence or choose evidence that supports answers; L-no leverage because it is based on fiction</t>
  </si>
  <si>
    <t>RL.6.2</t>
  </si>
  <si>
    <t>Determine a theme or central idea of a text and how it is conveyed through particular details; provide a summary of the text distinct from personal opinions or judgments.</t>
  </si>
  <si>
    <t>R-Need in 6th because in 7th they have to be able to analyze the theme; E- as years go on, expectations get more complex; A-we assume it is; L-summarizing and theme part of standard do not have leverage in other subjects because it is based on fiction</t>
  </si>
  <si>
    <t>RL.6.3</t>
  </si>
  <si>
    <t>Describe how a particular story’s or drama’s plot unfolds in a series of episodes as well as how the characters respond or change as the plot moves toward a resolution.</t>
  </si>
  <si>
    <t>R-Need in 6th because in 7th they have to be able to analyze how the elements interact; E-builds as text becomes more complex; A-we can assume; L-not used in other subjects due to being based on fiction</t>
  </si>
  <si>
    <t>RL.6.4</t>
  </si>
  <si>
    <t>Determine the meaning of words and phrases as they are used in a text, including figurative and connotative meanings; analyze the impact of a specific word choice on meaning and tone.</t>
  </si>
  <si>
    <t>Use the +/- buttons above to control which ranges are visible.  The first button for a grade shows more about the standards.  The second button shows more about justifications.</t>
  </si>
  <si>
    <t>R-Need in 6th because in 7th they have to be able to analyze how they affect the text; E-understanding language deepens comprehension; A-we can assume; L-not used in other subjects due to being based on fiction</t>
  </si>
  <si>
    <t>RL.6.5</t>
  </si>
  <si>
    <t>Analyze how a particular sentence, chapter, scene, or stanza fits into the overall structure of a text and contributes to the development of the theme, setting, or plot.</t>
  </si>
  <si>
    <t>R-Need in 6th because in 7th they have to be able to analyze the meaning of the element itself; E-as the text becomes more complex, the students will be expected to analyze and explain author's choices; A-we assume it is; L-not used in other subjects because it is based on fiction</t>
  </si>
  <si>
    <t>RL.6.6</t>
  </si>
  <si>
    <t>Explain how an author develops the point of view of the narrator or speaker in a text.</t>
  </si>
  <si>
    <t>R-need in 6th because in 7th they have to be able to analyze how the author develops the POV; E-as the text becomes more complex, students will be expected to analyze and compare and contrast POV; A-we can assume; L-not used in other subjects because it is based on fiction</t>
  </si>
  <si>
    <t>RL.6.7</t>
  </si>
  <si>
    <t>Compare and contrast the experience of reading a story, drama, or poem to listening to or viewing an audio, video, or live version of the text, including contrasting what they “see” and “hear” when reading the text to what they perceive when they listen or watch.</t>
  </si>
  <si>
    <t>R-sudents need in order to compare a text to a more visual form of text; E--not much endurance because the only change is the type of visual; A-not assessed because there are no videos on assessment; L-not used because it is based on fiction</t>
  </si>
  <si>
    <t>Kindergarten Essential Standards</t>
  </si>
  <si>
    <t>RL.6.9</t>
  </si>
  <si>
    <t>Compare and contrast texts in different forms or genres (e.g., stories and poems; historical novels and fantasy stories) in terms of their approaches to similar themes and topics.</t>
  </si>
  <si>
    <t>R-need in 6th  because in 7th they have to explain why the author uses or alters history; E-as texts become more complex, students are expected to analyze author addresses theme; A-we can assume; L-not used in other subjects due to the fact it is based on fiction</t>
  </si>
  <si>
    <t>RL.6.10</t>
  </si>
  <si>
    <t>1st Grade Essential Standards</t>
  </si>
  <si>
    <t>By the end of the year, read and comprehend literature, including stories, dramas, and poems, in the grades 6–8 text complexity band proficiently, with scaffolding as needed at the high end of the range.</t>
  </si>
  <si>
    <t>R-need to do because text becomes more complex; E-if not proficient, text will become more complex as the years progress; A-are provided grade level text; L-not used in other subjects</t>
  </si>
  <si>
    <t>2nd Essential Standards Grade</t>
  </si>
  <si>
    <t>3rd Grade Essential Standards</t>
  </si>
  <si>
    <t>RI.6.1</t>
  </si>
  <si>
    <t>4th Grade Essential Standards</t>
  </si>
  <si>
    <t>R-need in 6th because in 7th students are expected cite evidence from several pieces of text; E-as texts become more complex, students have to analyze multiple texts; A-we can assume; L-can use in all subjects</t>
  </si>
  <si>
    <t>5th Grade Essential Standards</t>
  </si>
  <si>
    <t>6th Grade Essential Standards</t>
  </si>
  <si>
    <t>RI.6.2</t>
  </si>
  <si>
    <t>Determine a central idea of a text and how it is conveyed through particular details; provide a summary of the text distinct from personal opinions or judgments.</t>
  </si>
  <si>
    <t>R-need in 6th because in 7th the students have to be able to analyze the development of central ideas; E-as texts become more complex, the students will be expected to analyze and explain how ideas were developed and summarize without judgement; A- we can assume; L-can be used in other subjects</t>
  </si>
  <si>
    <t>RI.6.3</t>
  </si>
  <si>
    <t>Analyze in detail how a key individual, event, or idea is introduced, illustrated, and elaborated in a text (e.g., through examples or anecdotes).</t>
  </si>
  <si>
    <t>R-need in 6th because in 7th the students have to be able to analyze the interactions between people and events; E-students are expected to apply skill to more complex text; A-we can assume;L-can be used in other subjects</t>
  </si>
  <si>
    <t>RI.6.4</t>
  </si>
  <si>
    <t>Determine the meaning of words and phrases as they are used in a text, including figurative, connotative, and technical meanings.</t>
  </si>
  <si>
    <t xml:space="preserve">R-need in 6th because in 7th students are expected to  analyze the impact of a specific word choice on meaning and tone;E-as texts become more complex, students will have to analyze the impact of language in a text; A-we can assume; L-can be used in other subjects </t>
  </si>
  <si>
    <t>ESS.</t>
  </si>
  <si>
    <t>RI.6.5</t>
  </si>
  <si>
    <t>Analyze how a particular sentence, paragraph, chapter, or section fits into the overall structure of a text and contributes to the development of the ideas.</t>
  </si>
  <si>
    <t>R-7th grade expects students to analyze structure an author uses to organize a text; E-students are expected to apply skill as text becomes more complex; A-we can assume; L-can be used in other subjects</t>
  </si>
  <si>
    <t>RI.6.6</t>
  </si>
  <si>
    <t>Determine an author’s point of view or purpose in a text and explain how it is conveyed in the text.</t>
  </si>
  <si>
    <t>Standard Name</t>
  </si>
  <si>
    <t>R-need in 6th because in 7th students are expected to analyze how the author distinguishes his/her position from that of others; E-students are expected to apply skill as text becomes more complex; A-we can assume; L-can be used in other subjects</t>
  </si>
  <si>
    <t>RI.6.7</t>
  </si>
  <si>
    <t>Integrate information presented in different media or formats (e.g., visually, quantitatively) as well as in words to develop a coherent understanding of a topic or issue</t>
  </si>
  <si>
    <t>R-7th grade expects students to compare and contrast various formats of text;  E-students can use various formats to understand text; A-we can assume; L-can be used in other subjects</t>
  </si>
  <si>
    <t>RI.6.8</t>
  </si>
  <si>
    <t>Trace and evaluate the argument and specific claims in a text, distinguishing claims that are supported by reasons and evidence from claims that are not.</t>
  </si>
  <si>
    <t>R-7th grade expects students to assess reasoning and evidence; E-this skill is the main component of ACT; A-we can assume; L-can be used in other subjects</t>
  </si>
  <si>
    <t>RI.6.9</t>
  </si>
  <si>
    <t>Compare and contrast one author’s presentation of events with that of another (e.g., a memoir written by and a biography on the same person).</t>
  </si>
  <si>
    <t>R-need in 6th because in 7th students are expected to analyze the author's interpretation of facts;E-students are expected to apply skill as text becomes more complex; A-we can assume; L-can be used in other subjects</t>
  </si>
  <si>
    <t>RI.6.10</t>
  </si>
  <si>
    <t>By the end of the year, read and comprehend literary nonfiction in the grades 6–8 text complexity band proficiently, with scaffolding as needed at the high end of the range.</t>
  </si>
  <si>
    <t>R-need to be proficient in order to comprehend more complex; E-need to be proficient in order to comprehendmore complex text; A-it is assessed; L-can be applied to other subjects</t>
  </si>
</sst>
</file>

<file path=xl/styles.xml><?xml version="1.0" encoding="utf-8"?>
<styleSheet xmlns="http://schemas.openxmlformats.org/spreadsheetml/2006/main" xmlns:x14ac="http://schemas.microsoft.com/office/spreadsheetml/2009/9/ac" xmlns:mc="http://schemas.openxmlformats.org/markup-compatibility/2006">
  <fonts count="31">
    <font>
      <sz val="10.0"/>
      <color rgb="FF000000"/>
      <name val="Arial"/>
    </font>
    <font>
      <b/>
      <sz val="12.0"/>
      <name val="Droid Sans"/>
    </font>
    <font>
      <b/>
      <sz val="12.0"/>
      <color rgb="FFCC0000"/>
      <name val="Arial"/>
    </font>
    <font>
      <name val="Arial"/>
    </font>
    <font>
      <b/>
      <sz val="12.0"/>
      <color rgb="FF000000"/>
      <name val="Droid Sans"/>
    </font>
    <font>
      <b/>
      <color rgb="FF38761D"/>
    </font>
    <font>
      <sz val="12.0"/>
      <name val="Droid Sans"/>
    </font>
    <font>
      <b/>
      <sz val="11.0"/>
      <color rgb="FFCC0000"/>
      <name val="Arial"/>
    </font>
    <font>
      <b/>
      <sz val="12.0"/>
      <name val="Arial"/>
    </font>
    <font/>
    <font>
      <b/>
      <sz val="11.0"/>
      <name val="Arial"/>
    </font>
    <font>
      <b/>
      <sz val="10.0"/>
      <name val="Arial"/>
    </font>
    <font>
      <b/>
      <name val="Arial"/>
    </font>
    <font>
      <b/>
      <sz val="9.0"/>
      <name val="Arial"/>
    </font>
    <font>
      <b/>
      <color rgb="FFFFFFFF"/>
      <name val="Arial"/>
    </font>
    <font>
      <color rgb="FF000000"/>
      <name val="Arial"/>
    </font>
    <font>
      <b/>
      <color rgb="FF38761D"/>
      <name val="Arial"/>
    </font>
    <font>
      <b/>
      <sz val="12.0"/>
      <color rgb="FF000000"/>
      <name val="Arial"/>
    </font>
    <font>
      <b/>
      <sz val="10.0"/>
      <color rgb="FFCC0000"/>
      <name val="Arial"/>
    </font>
    <font>
      <b/>
      <sz val="7.0"/>
      <color rgb="FF000000"/>
      <name val="Arial"/>
    </font>
    <font>
      <b/>
      <sz val="24.0"/>
      <color rgb="FF000000"/>
      <name val="Arial"/>
    </font>
    <font>
      <sz val="14.0"/>
      <name val="Arial"/>
    </font>
    <font>
      <sz val="3.0"/>
      <name val="Arial"/>
    </font>
    <font>
      <sz val="13.0"/>
      <color rgb="FF202020"/>
      <name val="Arial"/>
    </font>
    <font>
      <sz val="12.0"/>
      <color rgb="FF990000"/>
      <name val="Arial"/>
    </font>
    <font>
      <name val="Carter One"/>
    </font>
    <font>
      <sz val="12.0"/>
      <name val="Carter One"/>
    </font>
    <font>
      <sz val="8.0"/>
      <name val="Carter One"/>
    </font>
    <font>
      <sz val="11.0"/>
      <name val="Carter One"/>
    </font>
    <font>
      <sz val="9.0"/>
      <name val="Arial"/>
    </font>
    <font>
      <sz val="11.0"/>
      <color rgb="FF000000"/>
      <name val="Inconsolata"/>
    </font>
  </fonts>
  <fills count="20">
    <fill>
      <patternFill patternType="none"/>
    </fill>
    <fill>
      <patternFill patternType="lightGray"/>
    </fill>
    <fill>
      <patternFill patternType="solid">
        <fgColor rgb="FFFFFFFF"/>
        <bgColor rgb="FFFFFFFF"/>
      </patternFill>
    </fill>
    <fill>
      <patternFill patternType="solid">
        <fgColor rgb="FFEFEFEF"/>
        <bgColor rgb="FFEFEFEF"/>
      </patternFill>
    </fill>
    <fill>
      <patternFill patternType="solid">
        <fgColor rgb="FFD9D9D9"/>
        <bgColor rgb="FFD9D9D9"/>
      </patternFill>
    </fill>
    <fill>
      <patternFill patternType="solid">
        <fgColor rgb="FFCFE2F3"/>
        <bgColor rgb="FFCFE2F3"/>
      </patternFill>
    </fill>
    <fill>
      <patternFill patternType="solid">
        <fgColor rgb="FFCC0000"/>
        <bgColor rgb="FFCC0000"/>
      </patternFill>
    </fill>
    <fill>
      <patternFill patternType="solid">
        <fgColor rgb="FFDCE7FF"/>
        <bgColor rgb="FFDCE7FF"/>
      </patternFill>
    </fill>
    <fill>
      <patternFill patternType="solid">
        <fgColor rgb="FF9FC5E8"/>
        <bgColor rgb="FF9FC5E8"/>
      </patternFill>
    </fill>
    <fill>
      <patternFill patternType="solid">
        <fgColor rgb="FF6FA8DC"/>
        <bgColor rgb="FF6FA8DC"/>
      </patternFill>
    </fill>
    <fill>
      <patternFill patternType="solid">
        <fgColor rgb="FFEAD1DC"/>
        <bgColor rgb="FFEAD1DC"/>
      </patternFill>
    </fill>
    <fill>
      <patternFill patternType="solid">
        <fgColor rgb="FF3D85C6"/>
        <bgColor rgb="FF3D85C6"/>
      </patternFill>
    </fill>
    <fill>
      <patternFill patternType="solid">
        <fgColor rgb="FFD5A6BD"/>
        <bgColor rgb="FFD5A6BD"/>
      </patternFill>
    </fill>
    <fill>
      <patternFill patternType="solid">
        <fgColor rgb="FFC27BA0"/>
        <bgColor rgb="FFC27BA0"/>
      </patternFill>
    </fill>
    <fill>
      <patternFill patternType="solid">
        <fgColor rgb="FFA64D79"/>
        <bgColor rgb="FFA64D79"/>
      </patternFill>
    </fill>
    <fill>
      <patternFill patternType="solid">
        <fgColor rgb="FFD9D2E9"/>
        <bgColor rgb="FFD9D2E9"/>
      </patternFill>
    </fill>
    <fill>
      <patternFill patternType="solid">
        <fgColor rgb="FFB4A7D6"/>
        <bgColor rgb="FFB4A7D6"/>
      </patternFill>
    </fill>
    <fill>
      <patternFill patternType="solid">
        <fgColor rgb="FF8E7CC3"/>
        <bgColor rgb="FF8E7CC3"/>
      </patternFill>
    </fill>
    <fill>
      <patternFill patternType="solid">
        <fgColor rgb="FF674EA7"/>
        <bgColor rgb="FF674EA7"/>
      </patternFill>
    </fill>
    <fill>
      <patternFill patternType="solid">
        <fgColor rgb="FF000000"/>
        <bgColor rgb="FF000000"/>
      </patternFill>
    </fill>
  </fills>
  <borders count="18">
    <border/>
    <border>
      <right/>
    </border>
    <border>
      <left style="medium">
        <color rgb="FF000000"/>
      </left>
      <top style="medium">
        <color rgb="FF000000"/>
      </top>
      <bottom style="medium">
        <color rgb="FF000000"/>
      </bottom>
    </border>
    <border>
      <top style="medium">
        <color rgb="FF000000"/>
      </top>
      <bottom style="medium">
        <color rgb="FF000000"/>
      </bottom>
    </border>
    <border>
      <right style="thin">
        <color rgb="FF000000"/>
      </right>
    </border>
    <border>
      <right style="medium">
        <color rgb="FF000000"/>
      </right>
      <top style="medium">
        <color rgb="FF000000"/>
      </top>
      <bottom style="medium">
        <color rgb="FF000000"/>
      </bottom>
    </border>
    <border>
      <left style="medium">
        <color rgb="FF000000"/>
      </left>
    </border>
    <border>
      <left style="medium">
        <color rgb="FF000000"/>
      </left>
      <bottom style="medium">
        <color rgb="FF000000"/>
      </bottom>
    </border>
    <border>
      <right style="medium">
        <color rgb="FF000000"/>
      </right>
    </border>
    <border>
      <right style="medium">
        <color rgb="FF000000"/>
      </right>
      <bottom style="medium">
        <color rgb="FF000000"/>
      </bottom>
    </border>
    <border>
      <left style="medium">
        <color rgb="FF000000"/>
      </left>
      <right style="medium">
        <color rgb="FF000000"/>
      </right>
      <top style="medium">
        <color rgb="FF000000"/>
      </top>
    </border>
    <border>
      <left style="medium">
        <color rgb="FF000000"/>
      </left>
      <right style="medium">
        <color rgb="FF000000"/>
      </right>
    </border>
    <border>
      <left style="medium">
        <color rgb="FF000000"/>
      </left>
      <right style="medium">
        <color rgb="FF000000"/>
      </right>
      <bottom style="medium">
        <color rgb="FF000000"/>
      </bottom>
    </border>
    <border>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thin">
        <color rgb="FF000000"/>
      </left>
      <right style="thin">
        <color rgb="FF000000"/>
      </right>
      <top style="thin">
        <color rgb="FF000000"/>
      </top>
      <bottom style="thin">
        <color rgb="FF000000"/>
      </bottom>
    </border>
    <border>
      <right style="medium">
        <color rgb="FF000000"/>
      </right>
      <top style="medium">
        <color rgb="FF000000"/>
      </top>
    </border>
  </borders>
  <cellStyleXfs count="1">
    <xf borderId="0" fillId="0" fontId="0" numFmtId="0" applyAlignment="1" applyFont="1"/>
  </cellStyleXfs>
  <cellXfs count="180">
    <xf borderId="0" fillId="0" fontId="0" numFmtId="0" xfId="0" applyAlignment="1" applyFont="1">
      <alignment readingOrder="0" shrinkToFit="0" vertical="bottom" wrapText="0"/>
    </xf>
    <xf borderId="0" fillId="0" fontId="1" numFmtId="0" xfId="0" applyAlignment="1" applyFont="1">
      <alignment readingOrder="0" shrinkToFit="0" vertical="bottom" wrapText="1"/>
    </xf>
    <xf borderId="0" fillId="0" fontId="2" numFmtId="0" xfId="0" applyAlignment="1" applyFont="1">
      <alignment horizontal="center" readingOrder="0" vertical="center"/>
    </xf>
    <xf borderId="0" fillId="0" fontId="3" numFmtId="0" xfId="0" applyAlignment="1" applyFont="1">
      <alignment vertical="bottom"/>
    </xf>
    <xf borderId="0" fillId="0" fontId="2" numFmtId="0" xfId="0" applyAlignment="1" applyFont="1">
      <alignment horizontal="center" readingOrder="0" shrinkToFit="0" vertical="center" wrapText="1"/>
    </xf>
    <xf borderId="0" fillId="2" fontId="4" numFmtId="0" xfId="0" applyAlignment="1" applyFill="1" applyFont="1">
      <alignment shrinkToFit="0" vertical="bottom" wrapText="1"/>
    </xf>
    <xf borderId="0" fillId="0" fontId="5" numFmtId="0" xfId="0" applyAlignment="1" applyFont="1">
      <alignment readingOrder="0" shrinkToFit="0" wrapText="1"/>
    </xf>
    <xf borderId="1" fillId="0" fontId="6" numFmtId="0" xfId="0" applyAlignment="1" applyBorder="1" applyFont="1">
      <alignment shrinkToFit="0" vertical="bottom" wrapText="0"/>
    </xf>
    <xf borderId="0" fillId="0" fontId="7" numFmtId="0" xfId="0" applyAlignment="1" applyFont="1">
      <alignment horizontal="left" readingOrder="0" shrinkToFit="0" vertical="center" wrapText="1"/>
    </xf>
    <xf borderId="1" fillId="0" fontId="3" numFmtId="0" xfId="0" applyAlignment="1" applyBorder="1" applyFont="1">
      <alignment vertical="bottom"/>
    </xf>
    <xf borderId="2" fillId="0" fontId="8" numFmtId="0" xfId="0" applyAlignment="1" applyBorder="1" applyFont="1">
      <alignment horizontal="center" readingOrder="0" vertical="center"/>
    </xf>
    <xf borderId="3" fillId="0" fontId="9" numFmtId="0" xfId="0" applyBorder="1" applyFont="1"/>
    <xf borderId="4" fillId="0" fontId="9" numFmtId="0" xfId="0" applyBorder="1" applyFont="1"/>
    <xf borderId="5" fillId="0" fontId="9" numFmtId="0" xfId="0" applyBorder="1" applyFont="1"/>
    <xf borderId="0" fillId="0" fontId="1" numFmtId="0" xfId="0" applyAlignment="1" applyFont="1">
      <alignment shrinkToFit="0" vertical="bottom" wrapText="1"/>
    </xf>
    <xf borderId="2" fillId="0" fontId="8" numFmtId="0" xfId="0" applyAlignment="1" applyBorder="1" applyFont="1">
      <alignment horizontal="center" readingOrder="0" vertical="bottom"/>
    </xf>
    <xf borderId="0" fillId="0" fontId="6" numFmtId="0" xfId="0" applyAlignment="1" applyFont="1">
      <alignment readingOrder="0" shrinkToFit="0" vertical="bottom" wrapText="1"/>
    </xf>
    <xf borderId="6" fillId="3" fontId="8" numFmtId="0" xfId="0" applyAlignment="1" applyBorder="1" applyFill="1" applyFont="1">
      <alignment horizontal="center" vertical="center"/>
    </xf>
    <xf borderId="7" fillId="4" fontId="8" numFmtId="0" xfId="0" applyAlignment="1" applyBorder="1" applyFill="1" applyFont="1">
      <alignment horizontal="center" vertical="bottom"/>
    </xf>
    <xf borderId="8" fillId="0" fontId="9" numFmtId="0" xfId="0" applyBorder="1" applyFont="1"/>
    <xf borderId="9" fillId="0" fontId="9" numFmtId="0" xfId="0" applyBorder="1" applyFont="1"/>
    <xf borderId="9" fillId="3" fontId="10" numFmtId="0" xfId="0" applyAlignment="1" applyBorder="1" applyFont="1">
      <alignment horizontal="center" vertical="center"/>
    </xf>
    <xf borderId="9" fillId="3" fontId="11" numFmtId="0" xfId="0" applyAlignment="1" applyBorder="1" applyFont="1">
      <alignment horizontal="center" vertical="center"/>
    </xf>
    <xf borderId="9" fillId="4" fontId="10" numFmtId="0" xfId="0" applyAlignment="1" applyBorder="1" applyFont="1">
      <alignment horizontal="center" vertical="bottom"/>
    </xf>
    <xf borderId="9" fillId="3" fontId="8" numFmtId="0" xfId="0" applyAlignment="1" applyBorder="1" applyFont="1">
      <alignment horizontal="left" shrinkToFit="0" vertical="center" wrapText="1"/>
    </xf>
    <xf borderId="9" fillId="4" fontId="11" numFmtId="0" xfId="0" applyAlignment="1" applyBorder="1" applyFont="1">
      <alignment horizontal="center" vertical="bottom"/>
    </xf>
    <xf borderId="9" fillId="4" fontId="8" numFmtId="0" xfId="0" applyAlignment="1" applyBorder="1" applyFont="1">
      <alignment horizontal="center" shrinkToFit="0" vertical="bottom" wrapText="1"/>
    </xf>
    <xf borderId="10" fillId="5" fontId="12" numFmtId="0" xfId="0" applyAlignment="1" applyBorder="1" applyFill="1" applyFont="1">
      <alignment horizontal="center" shrinkToFit="0" textRotation="90" vertical="center" wrapText="1"/>
    </xf>
    <xf borderId="10" fillId="5" fontId="12" numFmtId="0" xfId="0" applyAlignment="1" applyBorder="1" applyFont="1">
      <alignment shrinkToFit="0" textRotation="90" vertical="center" wrapText="1"/>
    </xf>
    <xf borderId="10" fillId="5" fontId="11" numFmtId="0" xfId="0" applyAlignment="1" applyBorder="1" applyFont="1">
      <alignment horizontal="center" shrinkToFit="0" textRotation="0" vertical="center" wrapText="1"/>
    </xf>
    <xf borderId="10" fillId="5" fontId="13" numFmtId="0" xfId="0" applyAlignment="1" applyBorder="1" applyFont="1">
      <alignment horizontal="center" shrinkToFit="0" textRotation="0" vertical="center" wrapText="1"/>
    </xf>
    <xf borderId="8" fillId="6" fontId="14" numFmtId="0" xfId="0" applyAlignment="1" applyBorder="1" applyFill="1" applyFont="1">
      <alignment horizontal="center" shrinkToFit="0" vertical="center" wrapText="1"/>
    </xf>
    <xf borderId="0" fillId="0" fontId="9" numFmtId="0" xfId="0" applyAlignment="1" applyFont="1">
      <alignment horizontal="center" readingOrder="0" vertical="center"/>
    </xf>
    <xf borderId="7" fillId="4" fontId="8" numFmtId="0" xfId="0" applyAlignment="1" applyBorder="1" applyFont="1">
      <alignment horizontal="center" vertical="center"/>
    </xf>
    <xf borderId="0" fillId="0" fontId="9" numFmtId="0" xfId="0" applyAlignment="1" applyFont="1">
      <alignment horizontal="left" readingOrder="0" shrinkToFit="0" vertical="center" wrapText="1"/>
    </xf>
    <xf borderId="9" fillId="4" fontId="10" numFmtId="0" xfId="0" applyAlignment="1" applyBorder="1" applyFont="1">
      <alignment horizontal="center" vertical="center"/>
    </xf>
    <xf borderId="11" fillId="7" fontId="3" numFmtId="0" xfId="0" applyAlignment="1" applyBorder="1" applyFill="1" applyFont="1">
      <alignment horizontal="center" readingOrder="0" vertical="center"/>
    </xf>
    <xf borderId="9" fillId="4" fontId="11" numFmtId="0" xfId="0" applyAlignment="1" applyBorder="1" applyFont="1">
      <alignment horizontal="center" vertical="center"/>
    </xf>
    <xf borderId="8" fillId="7" fontId="3" numFmtId="0" xfId="0" applyAlignment="1" applyBorder="1" applyFont="1">
      <alignment horizontal="left" vertical="center"/>
    </xf>
    <xf borderId="9" fillId="4" fontId="8" numFmtId="0" xfId="0" applyAlignment="1" applyBorder="1" applyFont="1">
      <alignment horizontal="center" shrinkToFit="0" vertical="center" wrapText="1"/>
    </xf>
    <xf borderId="8" fillId="7" fontId="3" numFmtId="0" xfId="0" applyAlignment="1" applyBorder="1" applyFont="1">
      <alignment horizontal="left" readingOrder="0" vertical="center"/>
    </xf>
    <xf borderId="0" fillId="0" fontId="3" numFmtId="0" xfId="0" applyAlignment="1" applyFont="1">
      <alignment horizontal="center" vertical="center"/>
    </xf>
    <xf borderId="11" fillId="0" fontId="9" numFmtId="0" xfId="0" applyBorder="1" applyFont="1"/>
    <xf borderId="0" fillId="0" fontId="3" numFmtId="0" xfId="0" applyAlignment="1" applyFont="1">
      <alignment shrinkToFit="0" vertical="center" wrapText="1"/>
    </xf>
    <xf borderId="11" fillId="7" fontId="3" numFmtId="0" xfId="0" applyAlignment="1" applyBorder="1" applyFont="1">
      <alignment horizontal="center" vertical="center"/>
    </xf>
    <xf borderId="11" fillId="7" fontId="3" numFmtId="0" xfId="0" applyAlignment="1" applyBorder="1" applyFont="1">
      <alignment readingOrder="0" vertical="center"/>
    </xf>
    <xf borderId="0" fillId="7" fontId="15" numFmtId="0" xfId="0" applyAlignment="1" applyFont="1">
      <alignment horizontal="left" readingOrder="0"/>
    </xf>
    <xf borderId="8" fillId="7" fontId="3" numFmtId="0" xfId="0" applyAlignment="1" applyBorder="1" applyFont="1">
      <alignment readingOrder="0" vertical="center"/>
    </xf>
    <xf borderId="8" fillId="7" fontId="3" numFmtId="0" xfId="0" applyAlignment="1" applyBorder="1" applyFont="1">
      <alignment vertical="center"/>
    </xf>
    <xf borderId="12" fillId="0" fontId="9" numFmtId="0" xfId="0" applyBorder="1" applyFont="1"/>
    <xf borderId="9" fillId="6" fontId="14" numFmtId="0" xfId="0" applyAlignment="1" applyBorder="1" applyFont="1">
      <alignment horizontal="center" shrinkToFit="0" vertical="center" wrapText="1"/>
    </xf>
    <xf borderId="0" fillId="0" fontId="15" numFmtId="0" xfId="0" applyAlignment="1" applyFont="1">
      <alignment horizontal="left" readingOrder="0"/>
    </xf>
    <xf borderId="13" fillId="0" fontId="3" numFmtId="0" xfId="0" applyAlignment="1" applyBorder="1" applyFont="1">
      <alignment horizontal="center" vertical="center"/>
    </xf>
    <xf borderId="13" fillId="0" fontId="3" numFmtId="0" xfId="0" applyAlignment="1" applyBorder="1" applyFont="1">
      <alignment shrinkToFit="0" vertical="center" wrapText="1"/>
    </xf>
    <xf borderId="13" fillId="0" fontId="9" numFmtId="0" xfId="0" applyAlignment="1" applyBorder="1" applyFont="1">
      <alignment horizontal="center" readingOrder="0" vertical="center"/>
    </xf>
    <xf borderId="12" fillId="7" fontId="3" numFmtId="0" xfId="0" applyAlignment="1" applyBorder="1" applyFont="1">
      <alignment readingOrder="0" vertical="center"/>
    </xf>
    <xf borderId="13" fillId="0" fontId="9" numFmtId="0" xfId="0" applyAlignment="1" applyBorder="1" applyFont="1">
      <alignment horizontal="left" readingOrder="0" shrinkToFit="0" vertical="center" wrapText="1"/>
    </xf>
    <xf borderId="9" fillId="7" fontId="3" numFmtId="0" xfId="0" applyAlignment="1" applyBorder="1" applyFont="1">
      <alignment vertical="center"/>
    </xf>
    <xf borderId="12" fillId="7" fontId="3" numFmtId="0" xfId="0" applyAlignment="1" applyBorder="1" applyFont="1">
      <alignment horizontal="center" readingOrder="0" vertical="center"/>
    </xf>
    <xf borderId="10" fillId="8" fontId="13" numFmtId="0" xfId="0" applyAlignment="1" applyBorder="1" applyFill="1" applyFont="1">
      <alignment horizontal="center" shrinkToFit="0" textRotation="0" vertical="center" wrapText="1"/>
    </xf>
    <xf borderId="9" fillId="7" fontId="3" numFmtId="0" xfId="0" applyAlignment="1" applyBorder="1" applyFont="1">
      <alignment horizontal="left" vertical="center"/>
    </xf>
    <xf borderId="9" fillId="7" fontId="3" numFmtId="0" xfId="0" applyAlignment="1" applyBorder="1" applyFont="1">
      <alignment readingOrder="0" vertical="center"/>
    </xf>
    <xf borderId="10" fillId="8" fontId="11" numFmtId="0" xfId="0" applyAlignment="1" applyBorder="1" applyFont="1">
      <alignment horizontal="center" shrinkToFit="0" textRotation="0" vertical="center" wrapText="1"/>
    </xf>
    <xf borderId="10" fillId="9" fontId="13" numFmtId="0" xfId="0" applyAlignment="1" applyBorder="1" applyFill="1" applyFont="1">
      <alignment horizontal="center" shrinkToFit="0" textRotation="0" vertical="center" wrapText="1"/>
    </xf>
    <xf borderId="12" fillId="7" fontId="3" numFmtId="0" xfId="0" applyAlignment="1" applyBorder="1" applyFont="1">
      <alignment horizontal="center" vertical="center"/>
    </xf>
    <xf borderId="10" fillId="10" fontId="12" numFmtId="0" xfId="0" applyAlignment="1" applyBorder="1" applyFill="1" applyFont="1">
      <alignment shrinkToFit="0" textRotation="90" vertical="center" wrapText="1"/>
    </xf>
    <xf borderId="9" fillId="7" fontId="3" numFmtId="0" xfId="0" applyAlignment="1" applyBorder="1" applyFont="1">
      <alignment horizontal="left" readingOrder="0" vertical="center"/>
    </xf>
    <xf borderId="10" fillId="10" fontId="13" numFmtId="0" xfId="0" applyAlignment="1" applyBorder="1" applyFont="1">
      <alignment horizontal="center" shrinkToFit="0" textRotation="0" vertical="center" wrapText="1"/>
    </xf>
    <xf borderId="10" fillId="9" fontId="11" numFmtId="0" xfId="0" applyAlignment="1" applyBorder="1" applyFont="1">
      <alignment horizontal="center" shrinkToFit="0" textRotation="0" vertical="center" wrapText="1"/>
    </xf>
    <xf borderId="10" fillId="11" fontId="13" numFmtId="0" xfId="0" applyAlignment="1" applyBorder="1" applyFill="1" applyFont="1">
      <alignment horizontal="center" shrinkToFit="0" textRotation="0" vertical="center" wrapText="1"/>
    </xf>
    <xf borderId="12" fillId="7" fontId="3" numFmtId="0" xfId="0" applyAlignment="1" applyBorder="1" applyFont="1">
      <alignment vertical="center"/>
    </xf>
    <xf borderId="10" fillId="12" fontId="13" numFmtId="0" xfId="0" applyAlignment="1" applyBorder="1" applyFill="1" applyFont="1">
      <alignment horizontal="center" shrinkToFit="0" textRotation="0" vertical="center" wrapText="1"/>
    </xf>
    <xf borderId="11" fillId="7" fontId="3" numFmtId="0" xfId="0" applyAlignment="1" applyBorder="1" applyFont="1">
      <alignment vertical="center"/>
    </xf>
    <xf borderId="14" fillId="11" fontId="11" numFmtId="0" xfId="0" applyAlignment="1" applyBorder="1" applyFont="1">
      <alignment horizontal="center" shrinkToFit="0" textRotation="0" vertical="center" wrapText="1"/>
    </xf>
    <xf borderId="10" fillId="13" fontId="13" numFmtId="0" xfId="0" applyAlignment="1" applyBorder="1" applyFill="1" applyFont="1">
      <alignment horizontal="center" shrinkToFit="0" textRotation="0" vertical="center" wrapText="1"/>
    </xf>
    <xf borderId="10" fillId="10" fontId="12" numFmtId="0" xfId="0" applyAlignment="1" applyBorder="1" applyFont="1">
      <alignment horizontal="center" shrinkToFit="0" textRotation="90" vertical="center" wrapText="1"/>
    </xf>
    <xf borderId="13" fillId="0" fontId="3" numFmtId="0" xfId="0" applyAlignment="1" applyBorder="1" applyFont="1">
      <alignment readingOrder="0" shrinkToFit="0" vertical="center" wrapText="1"/>
    </xf>
    <xf borderId="10" fillId="10" fontId="11" numFmtId="0" xfId="0" applyAlignment="1" applyBorder="1" applyFont="1">
      <alignment horizontal="center" shrinkToFit="0" textRotation="0" vertical="center" wrapText="1"/>
    </xf>
    <xf borderId="14" fillId="14" fontId="13" numFmtId="0" xfId="0" applyAlignment="1" applyBorder="1" applyFill="1" applyFont="1">
      <alignment horizontal="center" shrinkToFit="0" textRotation="0" vertical="center" wrapText="1"/>
    </xf>
    <xf borderId="10" fillId="15" fontId="13" numFmtId="0" xfId="0" applyAlignment="1" applyBorder="1" applyFill="1" applyFont="1">
      <alignment horizontal="center" shrinkToFit="0" textRotation="0" vertical="center" wrapText="1"/>
    </xf>
    <xf borderId="10" fillId="12" fontId="11" numFmtId="0" xfId="0" applyAlignment="1" applyBorder="1" applyFont="1">
      <alignment horizontal="center" shrinkToFit="0" textRotation="0" vertical="center" wrapText="1"/>
    </xf>
    <xf borderId="10" fillId="15" fontId="12" numFmtId="0" xfId="0" applyAlignment="1" applyBorder="1" applyFont="1">
      <alignment shrinkToFit="0" textRotation="90" vertical="center" wrapText="1"/>
    </xf>
    <xf borderId="10" fillId="13" fontId="11" numFmtId="0" xfId="0" applyAlignment="1" applyBorder="1" applyFont="1">
      <alignment horizontal="center" shrinkToFit="0" textRotation="0" vertical="center" wrapText="1"/>
    </xf>
    <xf borderId="10" fillId="16" fontId="13" numFmtId="0" xfId="0" applyAlignment="1" applyBorder="1" applyFill="1" applyFont="1">
      <alignment horizontal="center" shrinkToFit="0" textRotation="0" vertical="center" wrapText="1"/>
    </xf>
    <xf borderId="8" fillId="7" fontId="3" numFmtId="0" xfId="0" applyAlignment="1" applyBorder="1" applyFont="1">
      <alignment horizontal="left" readingOrder="0" shrinkToFit="0" vertical="center" wrapText="1"/>
    </xf>
    <xf borderId="14" fillId="14" fontId="11" numFmtId="0" xfId="0" applyAlignment="1" applyBorder="1" applyFont="1">
      <alignment horizontal="center" shrinkToFit="0" textRotation="0" vertical="center" wrapText="1"/>
    </xf>
    <xf borderId="10" fillId="17" fontId="13" numFmtId="0" xfId="0" applyAlignment="1" applyBorder="1" applyFill="1" applyFont="1">
      <alignment horizontal="center" shrinkToFit="0" textRotation="0" vertical="center" wrapText="1"/>
    </xf>
    <xf borderId="10" fillId="15" fontId="12" numFmtId="0" xfId="0" applyAlignment="1" applyBorder="1" applyFont="1">
      <alignment horizontal="center" shrinkToFit="0" textRotation="90" vertical="center" wrapText="1"/>
    </xf>
    <xf borderId="8" fillId="7" fontId="3" numFmtId="0" xfId="0" applyAlignment="1" applyBorder="1" applyFont="1">
      <alignment readingOrder="0" shrinkToFit="0" vertical="center" wrapText="1"/>
    </xf>
    <xf borderId="10" fillId="15" fontId="11" numFmtId="0" xfId="0" applyAlignment="1" applyBorder="1" applyFont="1">
      <alignment horizontal="center" shrinkToFit="0" textRotation="0" vertical="center" wrapText="1"/>
    </xf>
    <xf borderId="14" fillId="18" fontId="13" numFmtId="0" xfId="0" applyAlignment="1" applyBorder="1" applyFill="1" applyFont="1">
      <alignment horizontal="center" shrinkToFit="0" textRotation="0" vertical="center" wrapText="1"/>
    </xf>
    <xf borderId="15" fillId="19" fontId="3" numFmtId="0" xfId="0" applyBorder="1" applyFill="1" applyFont="1"/>
    <xf borderId="10" fillId="16" fontId="11" numFmtId="0" xfId="0" applyAlignment="1" applyBorder="1" applyFont="1">
      <alignment horizontal="center" shrinkToFit="0" textRotation="0" vertical="center" wrapText="1"/>
    </xf>
    <xf borderId="0" fillId="0" fontId="16" numFmtId="0" xfId="0" applyAlignment="1" applyFont="1">
      <alignment shrinkToFit="0" vertical="center" wrapText="1"/>
    </xf>
    <xf borderId="0" fillId="4" fontId="17" numFmtId="0" xfId="0" applyAlignment="1" applyFont="1">
      <alignment horizontal="center" readingOrder="0" shrinkToFit="0" textRotation="90" vertical="center" wrapText="1"/>
    </xf>
    <xf borderId="0" fillId="0" fontId="18" numFmtId="0" xfId="0" applyAlignment="1" applyFont="1">
      <alignment horizontal="left" readingOrder="0" shrinkToFit="0" vertical="center" wrapText="1"/>
    </xf>
    <xf borderId="10" fillId="17" fontId="11" numFmtId="0" xfId="0" applyAlignment="1" applyBorder="1" applyFont="1">
      <alignment horizontal="center" shrinkToFit="0" textRotation="0" vertical="center" wrapText="1"/>
    </xf>
    <xf borderId="0" fillId="0" fontId="17" numFmtId="0" xfId="0" applyAlignment="1" applyFont="1">
      <alignment horizontal="center" shrinkToFit="0" vertical="center" wrapText="1"/>
    </xf>
    <xf borderId="0" fillId="4" fontId="19" numFmtId="0" xfId="0" applyAlignment="1" applyFont="1">
      <alignment horizontal="center" shrinkToFit="0" textRotation="90" vertical="center" wrapText="1"/>
    </xf>
    <xf borderId="0" fillId="0" fontId="20" numFmtId="1" xfId="0" applyAlignment="1" applyFont="1" applyNumberFormat="1">
      <alignment horizontal="center" shrinkToFit="0" textRotation="0" vertical="center" wrapText="1"/>
    </xf>
    <xf borderId="0" fillId="0" fontId="3" numFmtId="0" xfId="0" applyAlignment="1" applyFont="1">
      <alignment vertical="center"/>
    </xf>
    <xf borderId="14" fillId="18" fontId="11" numFmtId="0" xfId="0" applyAlignment="1" applyBorder="1" applyFont="1">
      <alignment horizontal="center" shrinkToFit="0" textRotation="0" vertical="center" wrapText="1"/>
    </xf>
    <xf borderId="4" fillId="0" fontId="3" numFmtId="0" xfId="0" applyAlignment="1" applyBorder="1" applyFont="1">
      <alignment vertical="center"/>
    </xf>
    <xf borderId="13" fillId="0" fontId="12" numFmtId="0" xfId="0" applyAlignment="1" applyBorder="1" applyFont="1">
      <alignment vertical="bottom"/>
    </xf>
    <xf borderId="13" fillId="0" fontId="9" numFmtId="0" xfId="0" applyBorder="1" applyFont="1"/>
    <xf borderId="9" fillId="0" fontId="3" numFmtId="0" xfId="0" applyAlignment="1" applyBorder="1" applyFont="1">
      <alignment horizontal="right" readingOrder="0" vertical="bottom"/>
    </xf>
    <xf borderId="0" fillId="0" fontId="21" numFmtId="0" xfId="0" applyAlignment="1" applyFont="1">
      <alignment horizontal="center" shrinkToFit="0" wrapText="1"/>
    </xf>
    <xf borderId="13" fillId="4" fontId="8" numFmtId="0" xfId="0" applyAlignment="1" applyBorder="1" applyFont="1">
      <alignment horizontal="center" vertical="bottom"/>
    </xf>
    <xf borderId="9" fillId="4" fontId="12" numFmtId="0" xfId="0" applyAlignment="1" applyBorder="1" applyFont="1">
      <alignment horizontal="center" vertical="bottom"/>
    </xf>
    <xf borderId="0" fillId="0" fontId="3" numFmtId="0" xfId="0" applyAlignment="1" applyFont="1">
      <alignment shrinkToFit="0" vertical="bottom" wrapText="1"/>
    </xf>
    <xf borderId="0" fillId="0" fontId="22" numFmtId="0" xfId="0" applyAlignment="1" applyFont="1">
      <alignment vertical="bottom"/>
    </xf>
    <xf borderId="0" fillId="7" fontId="9" numFmtId="0" xfId="0" applyAlignment="1" applyFont="1">
      <alignment readingOrder="0"/>
    </xf>
    <xf borderId="4" fillId="0" fontId="3" numFmtId="0" xfId="0" applyAlignment="1" applyBorder="1" applyFont="1">
      <alignment vertical="bottom"/>
    </xf>
    <xf borderId="0" fillId="7" fontId="9" numFmtId="0" xfId="0" applyFont="1"/>
    <xf borderId="0" fillId="0" fontId="3" numFmtId="0" xfId="0" applyAlignment="1" applyFont="1">
      <alignment horizontal="center" readingOrder="0" vertical="center"/>
    </xf>
    <xf borderId="0" fillId="0" fontId="2" numFmtId="0" xfId="0" applyAlignment="1" applyFont="1">
      <alignment horizontal="left" readingOrder="0" shrinkToFit="0" vertical="center" wrapText="1"/>
    </xf>
    <xf borderId="13" fillId="0" fontId="3" numFmtId="0" xfId="0" applyAlignment="1" applyBorder="1" applyFont="1">
      <alignment horizontal="center" readingOrder="0" vertical="center"/>
    </xf>
    <xf borderId="9" fillId="4" fontId="8" numFmtId="0" xfId="0" applyAlignment="1" applyBorder="1" applyFont="1">
      <alignment horizontal="center" vertical="center"/>
    </xf>
    <xf borderId="11" fillId="0" fontId="3" numFmtId="0" xfId="0" applyAlignment="1" applyBorder="1" applyFont="1">
      <alignment readingOrder="0" vertical="center"/>
    </xf>
    <xf borderId="10" fillId="5" fontId="12" numFmtId="0" xfId="0" applyAlignment="1" applyBorder="1" applyFont="1">
      <alignment horizontal="center" shrinkToFit="0" vertical="center" wrapText="1"/>
    </xf>
    <xf borderId="11" fillId="0" fontId="3" numFmtId="0" xfId="0" applyAlignment="1" applyBorder="1" applyFont="1">
      <alignment vertical="center"/>
    </xf>
    <xf borderId="8" fillId="0" fontId="3" numFmtId="0" xfId="0" applyAlignment="1" applyBorder="1" applyFont="1">
      <alignment readingOrder="0" vertical="center"/>
    </xf>
    <xf borderId="0" fillId="7" fontId="15" numFmtId="0" xfId="0" applyAlignment="1" applyFont="1">
      <alignment horizontal="left" readingOrder="0" shrinkToFit="0" wrapText="1"/>
    </xf>
    <xf borderId="12" fillId="0" fontId="3" numFmtId="0" xfId="0" applyAlignment="1" applyBorder="1" applyFont="1">
      <alignment readingOrder="0" vertical="center"/>
    </xf>
    <xf borderId="10" fillId="8" fontId="12" numFmtId="0" xfId="0" applyAlignment="1" applyBorder="1" applyFont="1">
      <alignment horizontal="center" shrinkToFit="0" vertical="center" wrapText="1"/>
    </xf>
    <xf borderId="0" fillId="0" fontId="3" numFmtId="0" xfId="0" applyAlignment="1" applyFont="1">
      <alignment readingOrder="0" shrinkToFit="0" vertical="center" wrapText="1"/>
    </xf>
    <xf borderId="12" fillId="0" fontId="3" numFmtId="0" xfId="0" applyAlignment="1" applyBorder="1" applyFont="1">
      <alignment vertical="center"/>
    </xf>
    <xf borderId="9" fillId="0" fontId="3" numFmtId="0" xfId="0" applyAlignment="1" applyBorder="1" applyFont="1">
      <alignment vertical="center"/>
    </xf>
    <xf borderId="0" fillId="0" fontId="3" numFmtId="0" xfId="0" applyAlignment="1" applyFont="1">
      <alignment readingOrder="0" shrinkToFit="0" vertical="bottom" wrapText="1"/>
    </xf>
    <xf borderId="9" fillId="7" fontId="3" numFmtId="0" xfId="0" applyAlignment="1" applyBorder="1" applyFont="1">
      <alignment horizontal="left" readingOrder="0" shrinkToFit="0" vertical="center" wrapText="1"/>
    </xf>
    <xf borderId="14" fillId="10" fontId="12" numFmtId="0" xfId="0" applyAlignment="1" applyBorder="1" applyFont="1">
      <alignment shrinkToFit="0" textRotation="90" vertical="center" wrapText="1"/>
    </xf>
    <xf borderId="8" fillId="0" fontId="3" numFmtId="0" xfId="0" applyAlignment="1" applyBorder="1" applyFont="1">
      <alignment vertical="center"/>
    </xf>
    <xf borderId="10" fillId="10" fontId="12" numFmtId="0" xfId="0" applyAlignment="1" applyBorder="1" applyFont="1">
      <alignment horizontal="center" shrinkToFit="0" vertical="center" wrapText="1"/>
    </xf>
    <xf borderId="0" fillId="0" fontId="23" numFmtId="0" xfId="0" applyAlignment="1" applyFont="1">
      <alignment readingOrder="0"/>
    </xf>
    <xf borderId="10" fillId="12" fontId="12" numFmtId="0" xfId="0" applyAlignment="1" applyBorder="1" applyFont="1">
      <alignment horizontal="center" shrinkToFit="0" vertical="center" wrapText="1"/>
    </xf>
    <xf borderId="10" fillId="13" fontId="12" numFmtId="0" xfId="0" applyAlignment="1" applyBorder="1" applyFont="1">
      <alignment horizontal="center" shrinkToFit="0" vertical="center" wrapText="1"/>
    </xf>
    <xf borderId="14" fillId="14" fontId="12" numFmtId="0" xfId="0" applyAlignment="1" applyBorder="1" applyFont="1">
      <alignment horizontal="center" shrinkToFit="0" vertical="center" wrapText="1"/>
    </xf>
    <xf borderId="10" fillId="15" fontId="12" numFmtId="0" xfId="0" applyAlignment="1" applyBorder="1" applyFont="1">
      <alignment horizontal="center" shrinkToFit="0" vertical="center" wrapText="1"/>
    </xf>
    <xf borderId="16" fillId="0" fontId="3" numFmtId="0" xfId="0" applyAlignment="1" applyBorder="1" applyFont="1">
      <alignment readingOrder="0" shrinkToFit="0" vertical="bottom" wrapText="1"/>
    </xf>
    <xf borderId="10" fillId="16" fontId="12" numFmtId="0" xfId="0" applyAlignment="1" applyBorder="1" applyFont="1">
      <alignment horizontal="center" shrinkToFit="0" vertical="center" wrapText="1"/>
    </xf>
    <xf borderId="13" fillId="0" fontId="3" numFmtId="0" xfId="0" applyAlignment="1" applyBorder="1" applyFont="1">
      <alignment vertical="center"/>
    </xf>
    <xf borderId="10" fillId="17" fontId="12" numFmtId="0" xfId="0" applyAlignment="1" applyBorder="1" applyFont="1">
      <alignment horizontal="center" shrinkToFit="0" vertical="center" wrapText="1"/>
    </xf>
    <xf borderId="16" fillId="0" fontId="3" numFmtId="0" xfId="0" applyAlignment="1" applyBorder="1" applyFont="1">
      <alignment vertical="center"/>
    </xf>
    <xf borderId="14" fillId="18" fontId="12" numFmtId="0" xfId="0" applyAlignment="1" applyBorder="1" applyFont="1">
      <alignment horizontal="center" shrinkToFit="0" vertical="center" wrapText="1"/>
    </xf>
    <xf borderId="9" fillId="0" fontId="3" numFmtId="0" xfId="0" applyAlignment="1" applyBorder="1" applyFont="1">
      <alignment readingOrder="0" vertical="center"/>
    </xf>
    <xf borderId="8" fillId="19" fontId="14" numFmtId="0" xfId="0" applyAlignment="1" applyBorder="1" applyFont="1">
      <alignment horizontal="center" shrinkToFit="0" wrapText="1"/>
    </xf>
    <xf borderId="8" fillId="6" fontId="14" numFmtId="0" xfId="0" applyAlignment="1" applyBorder="1" applyFont="1">
      <alignment horizontal="center" shrinkToFit="0" wrapText="1"/>
    </xf>
    <xf borderId="0" fillId="0" fontId="9" numFmtId="0" xfId="0" applyAlignment="1" applyFont="1">
      <alignment readingOrder="0"/>
    </xf>
    <xf borderId="0" fillId="0" fontId="3" numFmtId="0" xfId="0" applyAlignment="1" applyFont="1">
      <alignment horizontal="left" shrinkToFit="0" vertical="center" wrapText="1"/>
    </xf>
    <xf borderId="8" fillId="7" fontId="3" numFmtId="0" xfId="0" applyAlignment="1" applyBorder="1" applyFont="1">
      <alignment horizontal="center" readingOrder="0" vertical="center"/>
    </xf>
    <xf borderId="8" fillId="7" fontId="3" numFmtId="0" xfId="0" applyAlignment="1" applyBorder="1" applyFont="1">
      <alignment horizontal="center" readingOrder="0" shrinkToFit="0" vertical="center" wrapText="1"/>
    </xf>
    <xf borderId="8" fillId="7" fontId="3" numFmtId="0" xfId="0" applyAlignment="1" applyBorder="1" applyFont="1">
      <alignment horizontal="center" vertical="center"/>
    </xf>
    <xf borderId="13" fillId="0" fontId="3" numFmtId="0" xfId="0" applyAlignment="1" applyBorder="1" applyFont="1">
      <alignment horizontal="left" shrinkToFit="0" vertical="center" wrapText="1"/>
    </xf>
    <xf borderId="9" fillId="7" fontId="3" numFmtId="0" xfId="0" applyAlignment="1" applyBorder="1" applyFont="1">
      <alignment horizontal="center" vertical="center"/>
    </xf>
    <xf borderId="0" fillId="0" fontId="24" numFmtId="0" xfId="0" applyAlignment="1" applyFont="1">
      <alignment horizontal="left" readingOrder="0" shrinkToFit="0" vertical="center" wrapText="0"/>
    </xf>
    <xf borderId="9" fillId="7" fontId="3" numFmtId="0" xfId="0" applyAlignment="1" applyBorder="1" applyFont="1">
      <alignment horizontal="center" readingOrder="0" shrinkToFit="0" vertical="center" wrapText="1"/>
    </xf>
    <xf borderId="9" fillId="4" fontId="25" numFmtId="0" xfId="0" applyAlignment="1" applyBorder="1" applyFont="1">
      <alignment horizontal="center" shrinkToFit="0" vertical="center" wrapText="1"/>
    </xf>
    <xf borderId="13" fillId="4" fontId="26" numFmtId="0" xfId="0" applyAlignment="1" applyBorder="1" applyFont="1">
      <alignment horizontal="center" readingOrder="0" shrinkToFit="0" vertical="center" wrapText="1"/>
    </xf>
    <xf borderId="6" fillId="4" fontId="26" numFmtId="0" xfId="0" applyAlignment="1" applyBorder="1" applyFont="1">
      <alignment horizontal="center" readingOrder="0" shrinkToFit="0" vertical="center" wrapText="1"/>
    </xf>
    <xf borderId="12" fillId="4" fontId="26" numFmtId="0" xfId="0" applyAlignment="1" applyBorder="1" applyFont="1">
      <alignment horizontal="center" shrinkToFit="0" vertical="center" wrapText="1"/>
    </xf>
    <xf borderId="9" fillId="4" fontId="27" numFmtId="0" xfId="0" applyAlignment="1" applyBorder="1" applyFont="1">
      <alignment horizontal="center" shrinkToFit="0" vertical="center" wrapText="1"/>
    </xf>
    <xf borderId="9" fillId="4" fontId="28" numFmtId="0" xfId="0" applyAlignment="1" applyBorder="1" applyFont="1">
      <alignment horizontal="center" shrinkToFit="0" vertical="center" wrapText="1"/>
    </xf>
    <xf borderId="9" fillId="4" fontId="26" numFmtId="0" xfId="0" applyAlignment="1" applyBorder="1" applyFont="1">
      <alignment horizontal="center" shrinkToFit="0" vertical="center" wrapText="1"/>
    </xf>
    <xf borderId="13" fillId="4" fontId="26" numFmtId="0" xfId="0" applyAlignment="1" applyBorder="1" applyFont="1">
      <alignment horizontal="center" shrinkToFit="0" vertical="center" wrapText="1"/>
    </xf>
    <xf borderId="17" fillId="4" fontId="25" numFmtId="0" xfId="0" applyAlignment="1" applyBorder="1" applyFont="1">
      <alignment horizontal="center" shrinkToFit="0" vertical="center" wrapText="1"/>
    </xf>
    <xf borderId="9" fillId="7" fontId="3" numFmtId="0" xfId="0" applyAlignment="1" applyBorder="1" applyFont="1">
      <alignment horizontal="center" readingOrder="0" vertical="center"/>
    </xf>
    <xf borderId="5" fillId="4" fontId="25" numFmtId="0" xfId="0" applyAlignment="1" applyBorder="1" applyFont="1">
      <alignment horizontal="center" shrinkToFit="0" vertical="center" wrapText="1"/>
    </xf>
    <xf borderId="5" fillId="4" fontId="28" numFmtId="0" xfId="0" applyAlignment="1" applyBorder="1" applyFont="1">
      <alignment horizontal="center" shrinkToFit="0" vertical="center" wrapText="1"/>
    </xf>
    <xf borderId="5" fillId="4" fontId="26" numFmtId="0" xfId="0" applyAlignment="1" applyBorder="1" applyFont="1">
      <alignment horizontal="center" shrinkToFit="0" vertical="center" wrapText="1"/>
    </xf>
    <xf borderId="10" fillId="5" fontId="25" numFmtId="0" xfId="0" applyAlignment="1" applyBorder="1" applyFont="1">
      <alignment horizontal="center" shrinkToFit="0" textRotation="0" vertical="center" wrapText="1"/>
    </xf>
    <xf borderId="0" fillId="0" fontId="29" numFmtId="0" xfId="0" applyAlignment="1" applyFont="1">
      <alignment horizontal="left" shrinkToFit="0" vertical="center" wrapText="1"/>
    </xf>
    <xf borderId="0" fillId="0" fontId="22" numFmtId="0" xfId="0" applyAlignment="1" applyFont="1">
      <alignment horizontal="center" vertical="center"/>
    </xf>
    <xf borderId="6" fillId="6" fontId="14" numFmtId="0" xfId="0" applyAlignment="1" applyBorder="1" applyFont="1">
      <alignment horizontal="center" shrinkToFit="0" vertical="center" wrapText="1"/>
    </xf>
    <xf borderId="6" fillId="0" fontId="9" numFmtId="0" xfId="0" applyAlignment="1" applyBorder="1" applyFont="1">
      <alignment horizontal="center" vertical="center"/>
    </xf>
    <xf borderId="13" fillId="0" fontId="29" numFmtId="0" xfId="0" applyAlignment="1" applyBorder="1" applyFont="1">
      <alignment horizontal="left" shrinkToFit="0" vertical="center" wrapText="1"/>
    </xf>
    <xf borderId="13" fillId="0" fontId="22" numFmtId="0" xfId="0" applyAlignment="1" applyBorder="1" applyFont="1">
      <alignment horizontal="center" vertical="center"/>
    </xf>
    <xf borderId="7" fillId="6" fontId="14" numFmtId="0" xfId="0" applyAlignment="1" applyBorder="1" applyFont="1">
      <alignment horizontal="center" shrinkToFit="0" vertical="center" wrapText="1"/>
    </xf>
    <xf borderId="10" fillId="10" fontId="25" numFmtId="0" xfId="0" applyAlignment="1" applyBorder="1" applyFont="1">
      <alignment horizontal="center" shrinkToFit="0" textRotation="0" vertical="center" wrapText="1"/>
    </xf>
    <xf borderId="10" fillId="15" fontId="25" numFmtId="0" xfId="0" applyAlignment="1" applyBorder="1" applyFont="1">
      <alignment horizontal="center" shrinkToFit="0" textRotation="0" vertical="center" wrapText="1"/>
    </xf>
    <xf borderId="0" fillId="2" fontId="30" numFmtId="0" xfId="0" applyAlignment="1" applyFont="1">
      <alignment horizontal="center" vertical="center"/>
    </xf>
  </cellXfs>
  <cellStyles count="1">
    <cellStyle xfId="0" name="Normal" builtinId="0"/>
  </cellStyles>
  <dxfs count="10">
    <dxf>
      <font>
        <color rgb="FF8CFF62"/>
      </font>
      <fill>
        <patternFill patternType="solid">
          <fgColor rgb="FF8CFF62"/>
          <bgColor rgb="FF8CFF62"/>
        </patternFill>
      </fill>
      <border/>
    </dxf>
    <dxf>
      <font>
        <color rgb="FFFF6360"/>
      </font>
      <fill>
        <patternFill patternType="solid">
          <fgColor rgb="FFFF6360"/>
          <bgColor rgb="FFFF6360"/>
        </patternFill>
      </fill>
      <border/>
    </dxf>
    <dxf>
      <font>
        <b/>
        <color rgb="FFFFFFFF"/>
      </font>
      <fill>
        <patternFill patternType="solid">
          <fgColor rgb="FFCC0000"/>
          <bgColor rgb="FFCC0000"/>
        </patternFill>
      </fill>
      <border/>
    </dxf>
    <dxf>
      <font>
        <b/>
        <color rgb="FFFFFFFF"/>
      </font>
      <fill>
        <patternFill patternType="solid">
          <fgColor rgb="FF6AA84F"/>
          <bgColor rgb="FF6AA84F"/>
        </patternFill>
      </fill>
      <border/>
    </dxf>
    <dxf>
      <font/>
      <fill>
        <patternFill patternType="solid">
          <fgColor rgb="FFFF6360"/>
          <bgColor rgb="FFFF6360"/>
        </patternFill>
      </fill>
      <border/>
    </dxf>
    <dxf>
      <font/>
      <fill>
        <patternFill patternType="solid">
          <fgColor rgb="FFFFA45E"/>
          <bgColor rgb="FFFFA45E"/>
        </patternFill>
      </fill>
      <border/>
    </dxf>
    <dxf>
      <font/>
      <fill>
        <patternFill patternType="solid">
          <fgColor rgb="FFFFE05E"/>
          <bgColor rgb="FFFFE05E"/>
        </patternFill>
      </fill>
      <border/>
    </dxf>
    <dxf>
      <font/>
      <fill>
        <patternFill patternType="solid">
          <fgColor rgb="FFDBFF5E"/>
          <bgColor rgb="FFDBFF5E"/>
        </patternFill>
      </fill>
      <border/>
    </dxf>
    <dxf>
      <font/>
      <fill>
        <patternFill patternType="solid">
          <fgColor rgb="FF8CFF62"/>
          <bgColor rgb="FF8CFF62"/>
        </patternFill>
      </fill>
      <border/>
    </dxf>
    <dxf>
      <font/>
      <fill>
        <patternFill patternType="solid">
          <fgColor rgb="FFFFFFFF"/>
          <bgColor rgb="FFFFFFFF"/>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11" Type="http://schemas.openxmlformats.org/officeDocument/2006/relationships/worksheet" Target="worksheets/sheet9.xml"/><Relationship Id="rId10" Type="http://schemas.openxmlformats.org/officeDocument/2006/relationships/worksheet" Target="worksheets/sheet8.xml"/><Relationship Id="rId9" Type="http://schemas.openxmlformats.org/officeDocument/2006/relationships/worksheet" Target="worksheets/sheet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3.xml"/><Relationship Id="rId3"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4.xml"/><Relationship Id="rId3"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5.xml"/><Relationship Id="rId3"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6.xml"/><Relationship Id="rId3"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7.xml"/><Relationship Id="rId3"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8.xml"/><Relationship Id="rId3"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1" Type="http://schemas.openxmlformats.org/officeDocument/2006/relationships/comments" Target="../comments8.xml"/><Relationship Id="rId2" Type="http://schemas.openxmlformats.org/officeDocument/2006/relationships/drawing" Target="../drawings/drawing9.xml"/><Relationship Id="rId3"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row r="1">
      <c r="A1" s="1" t="s">
        <v>0</v>
      </c>
    </row>
    <row r="2">
      <c r="A2" s="3"/>
      <c r="B2" s="3"/>
      <c r="C2" s="3"/>
      <c r="D2" s="3"/>
      <c r="E2" s="3"/>
      <c r="F2" s="3"/>
      <c r="G2" s="3"/>
      <c r="H2" s="3"/>
      <c r="I2" s="3"/>
    </row>
    <row r="3">
      <c r="A3" s="5" t="s">
        <v>1</v>
      </c>
    </row>
    <row r="4">
      <c r="A4" s="3"/>
      <c r="B4" s="3"/>
      <c r="C4" s="3"/>
      <c r="D4" s="3"/>
      <c r="E4" s="3"/>
      <c r="F4" s="3"/>
      <c r="G4" s="3"/>
      <c r="H4" s="3"/>
      <c r="I4" s="3"/>
    </row>
    <row r="5">
      <c r="A5" s="7" t="s">
        <v>3</v>
      </c>
      <c r="B5" s="9"/>
      <c r="C5" s="9"/>
      <c r="D5" s="9"/>
      <c r="E5" s="9"/>
      <c r="F5" s="9"/>
      <c r="G5" s="9"/>
      <c r="H5" s="9"/>
      <c r="I5" s="3"/>
    </row>
    <row r="6">
      <c r="A6" s="3"/>
      <c r="B6" s="3"/>
      <c r="C6" s="3"/>
      <c r="D6" s="3"/>
      <c r="E6" s="3"/>
      <c r="F6" s="3"/>
      <c r="G6" s="3"/>
      <c r="H6" s="3"/>
      <c r="I6" s="3"/>
    </row>
    <row r="7">
      <c r="A7" s="14" t="s">
        <v>6</v>
      </c>
    </row>
    <row r="8">
      <c r="A8" s="3"/>
      <c r="B8" s="3"/>
      <c r="C8" s="3"/>
      <c r="D8" s="3"/>
      <c r="E8" s="3"/>
      <c r="F8" s="3"/>
      <c r="G8" s="3"/>
      <c r="H8" s="3"/>
      <c r="I8" s="3"/>
    </row>
    <row r="9">
      <c r="A9" s="3"/>
      <c r="B9" s="3"/>
      <c r="C9" s="3"/>
      <c r="D9" s="3"/>
      <c r="E9" s="3"/>
      <c r="F9" s="3"/>
      <c r="G9" s="3"/>
      <c r="H9" s="3"/>
      <c r="I9" s="3"/>
    </row>
    <row r="10">
      <c r="A10" s="16" t="s">
        <v>9</v>
      </c>
    </row>
  </sheetData>
  <mergeCells count="4">
    <mergeCell ref="A1:I1"/>
    <mergeCell ref="A3:I3"/>
    <mergeCell ref="A7:I7"/>
    <mergeCell ref="A10:I10"/>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4CCCC"/>
    <outlinePr summaryBelow="0" summaryRight="0"/>
  </sheetPr>
  <sheetViews>
    <sheetView workbookViewId="0"/>
  </sheetViews>
  <sheetFormatPr customHeight="1" defaultColWidth="14.43" defaultRowHeight="15.75" outlineLevelCol="1" outlineLevelRow="1"/>
  <cols>
    <col customWidth="1" min="1" max="1" width="5.14"/>
    <col customWidth="1" min="2" max="2" width="15.86"/>
    <col customWidth="1" min="3" max="3" width="5.14"/>
    <col customWidth="1" min="4" max="4" width="10.86"/>
    <col customWidth="1" min="5" max="5" width="57.29"/>
    <col customWidth="1" min="6" max="9" width="3.0"/>
    <col customWidth="1" min="10" max="10" width="0.86"/>
    <col customWidth="1" min="11" max="11" width="48.29"/>
    <col collapsed="1" min="12" max="12" width="14.43"/>
    <col hidden="1" min="13" max="21" width="14.43" outlineLevel="1"/>
  </cols>
  <sheetData>
    <row r="1" ht="7.5" customHeight="1">
      <c r="B1" s="2"/>
      <c r="C1" s="4"/>
      <c r="D1" s="4"/>
      <c r="E1" s="4"/>
      <c r="F1" s="4"/>
      <c r="G1" s="4"/>
      <c r="H1" s="4"/>
      <c r="I1" s="4"/>
      <c r="J1" s="4"/>
      <c r="K1" s="4"/>
    </row>
    <row r="2" ht="42.75" customHeight="1" outlineLevel="1">
      <c r="A2" s="6" t="s">
        <v>2</v>
      </c>
      <c r="C2" s="8" t="s">
        <v>4</v>
      </c>
    </row>
    <row r="3">
      <c r="A3" s="10" t="s">
        <v>5</v>
      </c>
      <c r="B3" s="11"/>
      <c r="C3" s="11"/>
      <c r="D3" s="11"/>
      <c r="E3" s="11"/>
      <c r="F3" s="11"/>
      <c r="G3" s="11"/>
      <c r="H3" s="11"/>
      <c r="I3" s="11"/>
      <c r="J3" s="11"/>
      <c r="K3" s="13"/>
      <c r="L3" s="3"/>
    </row>
    <row r="4" outlineLevel="1">
      <c r="A4" s="17" t="s">
        <v>8</v>
      </c>
      <c r="B4" s="19"/>
      <c r="C4" s="21" t="s">
        <v>10</v>
      </c>
      <c r="D4" s="22" t="s">
        <v>11</v>
      </c>
      <c r="E4" s="24" t="s">
        <v>12</v>
      </c>
      <c r="F4" s="21" t="s">
        <v>13</v>
      </c>
      <c r="G4" s="21" t="s">
        <v>14</v>
      </c>
      <c r="H4" s="21" t="s">
        <v>15</v>
      </c>
      <c r="I4" s="21" t="s">
        <v>16</v>
      </c>
      <c r="J4" s="21"/>
      <c r="K4" s="21" t="s">
        <v>17</v>
      </c>
      <c r="L4" s="3"/>
    </row>
    <row r="5" ht="31.5" customHeight="1" outlineLevel="1">
      <c r="A5" s="27" t="s">
        <v>18</v>
      </c>
      <c r="B5" s="29" t="s">
        <v>19</v>
      </c>
      <c r="C5" s="31">
        <f t="shared" ref="C5:C40" si="1">countif(F5:I5,TRUE)</f>
        <v>4</v>
      </c>
      <c r="D5" s="32" t="s">
        <v>21</v>
      </c>
      <c r="E5" s="34" t="s">
        <v>23</v>
      </c>
      <c r="F5" s="36" t="b">
        <v>1</v>
      </c>
      <c r="G5" s="36" t="b">
        <v>1</v>
      </c>
      <c r="H5" s="36" t="b">
        <v>1</v>
      </c>
      <c r="I5" s="36" t="b">
        <v>1</v>
      </c>
      <c r="J5" s="38"/>
      <c r="K5" s="40" t="s">
        <v>24</v>
      </c>
      <c r="L5" s="3"/>
    </row>
    <row r="6" ht="31.5" customHeight="1" outlineLevel="1">
      <c r="A6" s="42"/>
      <c r="B6" s="42"/>
      <c r="C6" s="31">
        <f t="shared" si="1"/>
        <v>3</v>
      </c>
      <c r="D6" s="32" t="s">
        <v>26</v>
      </c>
      <c r="E6" s="34" t="s">
        <v>27</v>
      </c>
      <c r="F6" s="36" t="b">
        <v>1</v>
      </c>
      <c r="G6" s="36" t="b">
        <v>1</v>
      </c>
      <c r="H6" s="36" t="b">
        <v>1</v>
      </c>
      <c r="I6" s="44" t="b">
        <v>0</v>
      </c>
      <c r="J6" s="38"/>
      <c r="K6" s="40" t="s">
        <v>28</v>
      </c>
      <c r="L6" s="3"/>
    </row>
    <row r="7" ht="42.0" customHeight="1" outlineLevel="1">
      <c r="A7" s="42"/>
      <c r="B7" s="42"/>
      <c r="C7" s="31">
        <f t="shared" si="1"/>
        <v>3</v>
      </c>
      <c r="D7" s="32" t="s">
        <v>29</v>
      </c>
      <c r="E7" s="34" t="s">
        <v>30</v>
      </c>
      <c r="F7" s="36" t="b">
        <v>1</v>
      </c>
      <c r="G7" s="36" t="b">
        <v>1</v>
      </c>
      <c r="H7" s="36" t="b">
        <v>1</v>
      </c>
      <c r="I7" s="44" t="b">
        <v>0</v>
      </c>
      <c r="J7" s="38"/>
      <c r="K7" s="46" t="s">
        <v>28</v>
      </c>
      <c r="L7" s="3"/>
    </row>
    <row r="8" ht="31.5" customHeight="1" outlineLevel="1">
      <c r="A8" s="42"/>
      <c r="B8" s="42"/>
      <c r="C8" s="31">
        <f t="shared" si="1"/>
        <v>2</v>
      </c>
      <c r="D8" s="32" t="s">
        <v>33</v>
      </c>
      <c r="E8" s="34" t="s">
        <v>34</v>
      </c>
      <c r="F8" s="36" t="b">
        <v>1</v>
      </c>
      <c r="G8" s="36" t="b">
        <v>1</v>
      </c>
      <c r="H8" s="36" t="b">
        <v>0</v>
      </c>
      <c r="I8" s="36" t="b">
        <v>0</v>
      </c>
      <c r="J8" s="38"/>
      <c r="K8" s="46" t="s">
        <v>28</v>
      </c>
      <c r="L8" s="3"/>
    </row>
    <row r="9" ht="31.5" customHeight="1" outlineLevel="1">
      <c r="A9" s="42"/>
      <c r="B9" s="49"/>
      <c r="C9" s="50">
        <f t="shared" si="1"/>
        <v>4</v>
      </c>
      <c r="D9" s="54" t="s">
        <v>42</v>
      </c>
      <c r="E9" s="56" t="s">
        <v>55</v>
      </c>
      <c r="F9" s="58" t="b">
        <v>1</v>
      </c>
      <c r="G9" s="58" t="b">
        <v>1</v>
      </c>
      <c r="H9" s="58" t="b">
        <v>1</v>
      </c>
      <c r="I9" s="58" t="b">
        <v>1</v>
      </c>
      <c r="J9" s="60"/>
      <c r="K9" s="47" t="s">
        <v>61</v>
      </c>
      <c r="L9" s="3"/>
    </row>
    <row r="10" outlineLevel="1">
      <c r="A10" s="42"/>
      <c r="B10" s="62" t="s">
        <v>56</v>
      </c>
      <c r="C10" s="31">
        <f t="shared" si="1"/>
        <v>4</v>
      </c>
      <c r="D10" s="32" t="s">
        <v>69</v>
      </c>
      <c r="E10" s="34" t="s">
        <v>58</v>
      </c>
      <c r="F10" s="36" t="b">
        <v>1</v>
      </c>
      <c r="G10" s="36" t="b">
        <v>1</v>
      </c>
      <c r="H10" s="36" t="b">
        <v>1</v>
      </c>
      <c r="I10" s="36" t="b">
        <v>1</v>
      </c>
      <c r="J10" s="38"/>
      <c r="K10" s="47" t="s">
        <v>70</v>
      </c>
      <c r="L10" s="3"/>
    </row>
    <row r="11" outlineLevel="1">
      <c r="A11" s="42"/>
      <c r="B11" s="42"/>
      <c r="C11" s="31">
        <f t="shared" si="1"/>
        <v>2</v>
      </c>
      <c r="D11" s="32" t="s">
        <v>71</v>
      </c>
      <c r="E11" s="34" t="s">
        <v>72</v>
      </c>
      <c r="F11" s="36" t="b">
        <v>1</v>
      </c>
      <c r="G11" s="36" t="b">
        <v>0</v>
      </c>
      <c r="H11" s="36" t="b">
        <v>1</v>
      </c>
      <c r="I11" s="44" t="b">
        <v>0</v>
      </c>
      <c r="J11" s="38"/>
      <c r="K11" s="47"/>
      <c r="L11" s="3"/>
    </row>
    <row r="12" outlineLevel="1">
      <c r="A12" s="42"/>
      <c r="B12" s="42"/>
      <c r="C12" s="31">
        <f t="shared" si="1"/>
        <v>2</v>
      </c>
      <c r="D12" s="32" t="s">
        <v>77</v>
      </c>
      <c r="E12" s="34" t="s">
        <v>78</v>
      </c>
      <c r="F12" s="36" t="b">
        <v>1</v>
      </c>
      <c r="G12" s="36" t="b">
        <v>0</v>
      </c>
      <c r="H12" s="36" t="b">
        <v>1</v>
      </c>
      <c r="I12" s="44" t="b">
        <v>0</v>
      </c>
      <c r="J12" s="38"/>
      <c r="K12" s="47" t="s">
        <v>81</v>
      </c>
      <c r="L12" s="3"/>
    </row>
    <row r="13" outlineLevel="1">
      <c r="A13" s="42"/>
      <c r="B13" s="42"/>
      <c r="C13" s="31">
        <f t="shared" si="1"/>
        <v>1</v>
      </c>
      <c r="D13" s="32" t="s">
        <v>84</v>
      </c>
      <c r="E13" s="34" t="s">
        <v>85</v>
      </c>
      <c r="F13" s="36" t="b">
        <v>1</v>
      </c>
      <c r="G13" s="36" t="b">
        <v>0</v>
      </c>
      <c r="H13" s="44" t="b">
        <v>0</v>
      </c>
      <c r="I13" s="44" t="b">
        <v>0</v>
      </c>
      <c r="J13" s="38"/>
      <c r="K13" s="40"/>
      <c r="L13" s="3"/>
    </row>
    <row r="14" outlineLevel="1">
      <c r="A14" s="42"/>
      <c r="B14" s="42"/>
      <c r="C14" s="31">
        <f t="shared" si="1"/>
        <v>3</v>
      </c>
      <c r="D14" s="32" t="s">
        <v>92</v>
      </c>
      <c r="E14" s="34" t="s">
        <v>93</v>
      </c>
      <c r="F14" s="36" t="b">
        <v>1</v>
      </c>
      <c r="G14" s="36" t="b">
        <v>1</v>
      </c>
      <c r="H14" s="36" t="b">
        <v>1</v>
      </c>
      <c r="I14" s="36" t="b">
        <v>0</v>
      </c>
      <c r="J14" s="38"/>
      <c r="K14" s="40" t="s">
        <v>81</v>
      </c>
      <c r="L14" s="3"/>
    </row>
    <row r="15" outlineLevel="1">
      <c r="A15" s="42"/>
      <c r="B15" s="49"/>
      <c r="C15" s="50">
        <f t="shared" si="1"/>
        <v>2</v>
      </c>
      <c r="D15" s="54" t="s">
        <v>96</v>
      </c>
      <c r="E15" s="56" t="s">
        <v>100</v>
      </c>
      <c r="F15" s="58" t="b">
        <v>1</v>
      </c>
      <c r="G15" s="58" t="b">
        <v>1</v>
      </c>
      <c r="H15" s="64" t="b">
        <v>0</v>
      </c>
      <c r="I15" s="64" t="b">
        <v>0</v>
      </c>
      <c r="J15" s="60"/>
      <c r="K15" s="66"/>
      <c r="L15" s="3"/>
    </row>
    <row r="16" outlineLevel="1">
      <c r="A16" s="42"/>
      <c r="B16" s="68" t="s">
        <v>25</v>
      </c>
      <c r="C16" s="31">
        <f t="shared" si="1"/>
        <v>4</v>
      </c>
      <c r="D16" s="32" t="s">
        <v>113</v>
      </c>
      <c r="E16" s="34" t="s">
        <v>76</v>
      </c>
      <c r="F16" s="36" t="b">
        <v>1</v>
      </c>
      <c r="G16" s="36" t="b">
        <v>1</v>
      </c>
      <c r="H16" s="36" t="b">
        <v>1</v>
      </c>
      <c r="I16" s="36" t="b">
        <v>1</v>
      </c>
      <c r="J16" s="38"/>
      <c r="K16" s="40" t="s">
        <v>116</v>
      </c>
      <c r="L16" s="3"/>
    </row>
    <row r="17" outlineLevel="1">
      <c r="A17" s="42"/>
      <c r="B17" s="42"/>
      <c r="C17" s="31">
        <f t="shared" si="1"/>
        <v>3</v>
      </c>
      <c r="D17" s="32" t="s">
        <v>117</v>
      </c>
      <c r="E17" s="34" t="s">
        <v>118</v>
      </c>
      <c r="F17" s="36" t="b">
        <v>1</v>
      </c>
      <c r="G17" s="36" t="b">
        <v>1</v>
      </c>
      <c r="H17" s="36" t="b">
        <v>1</v>
      </c>
      <c r="I17" s="36" t="b">
        <v>0</v>
      </c>
      <c r="J17" s="38"/>
      <c r="K17" s="40" t="s">
        <v>119</v>
      </c>
      <c r="L17" s="3"/>
    </row>
    <row r="18" outlineLevel="1">
      <c r="A18" s="42"/>
      <c r="B18" s="42"/>
      <c r="C18" s="31">
        <f t="shared" si="1"/>
        <v>3</v>
      </c>
      <c r="D18" s="32" t="s">
        <v>122</v>
      </c>
      <c r="E18" s="34" t="s">
        <v>124</v>
      </c>
      <c r="F18" s="36" t="b">
        <v>1</v>
      </c>
      <c r="G18" s="36" t="b">
        <v>1</v>
      </c>
      <c r="H18" s="36" t="b">
        <v>1</v>
      </c>
      <c r="I18" s="36" t="b">
        <v>0</v>
      </c>
      <c r="J18" s="38"/>
      <c r="K18" s="47" t="s">
        <v>119</v>
      </c>
      <c r="L18" s="3"/>
    </row>
    <row r="19" outlineLevel="1">
      <c r="A19" s="42"/>
      <c r="B19" s="42"/>
      <c r="C19" s="31">
        <f t="shared" si="1"/>
        <v>4</v>
      </c>
      <c r="D19" s="32" t="s">
        <v>125</v>
      </c>
      <c r="E19" s="34" t="s">
        <v>127</v>
      </c>
      <c r="F19" s="36" t="b">
        <v>1</v>
      </c>
      <c r="G19" s="36" t="b">
        <v>1</v>
      </c>
      <c r="H19" s="36" t="b">
        <v>1</v>
      </c>
      <c r="I19" s="36" t="b">
        <v>1</v>
      </c>
      <c r="J19" s="38"/>
      <c r="K19" s="47" t="s">
        <v>116</v>
      </c>
      <c r="L19" s="3"/>
    </row>
    <row r="20" outlineLevel="1">
      <c r="A20" s="42"/>
      <c r="B20" s="49"/>
      <c r="C20" s="50">
        <f t="shared" si="1"/>
        <v>1</v>
      </c>
      <c r="D20" s="54" t="s">
        <v>129</v>
      </c>
      <c r="E20" s="56" t="s">
        <v>131</v>
      </c>
      <c r="F20" s="58" t="b">
        <v>1</v>
      </c>
      <c r="G20" s="58" t="b">
        <v>0</v>
      </c>
      <c r="H20" s="64" t="b">
        <v>0</v>
      </c>
      <c r="I20" s="64" t="b">
        <v>0</v>
      </c>
      <c r="J20" s="60"/>
      <c r="K20" s="66"/>
      <c r="L20" s="3"/>
    </row>
    <row r="21" outlineLevel="1">
      <c r="A21" s="49"/>
      <c r="B21" s="73" t="s">
        <v>66</v>
      </c>
      <c r="C21" s="50">
        <f t="shared" si="1"/>
        <v>4</v>
      </c>
      <c r="D21" s="54" t="s">
        <v>140</v>
      </c>
      <c r="E21" s="56" t="s">
        <v>142</v>
      </c>
      <c r="F21" s="58" t="b">
        <v>1</v>
      </c>
      <c r="G21" s="58" t="b">
        <v>1</v>
      </c>
      <c r="H21" s="58" t="b">
        <v>1</v>
      </c>
      <c r="I21" s="58" t="b">
        <v>1</v>
      </c>
      <c r="J21" s="60"/>
      <c r="K21" s="66" t="s">
        <v>145</v>
      </c>
      <c r="L21" s="3"/>
    </row>
    <row r="22" ht="53.25" customHeight="1" outlineLevel="1">
      <c r="A22" s="75" t="s">
        <v>102</v>
      </c>
      <c r="B22" s="77" t="s">
        <v>107</v>
      </c>
      <c r="C22" s="31">
        <f t="shared" si="1"/>
        <v>0</v>
      </c>
      <c r="D22" s="32" t="s">
        <v>161</v>
      </c>
      <c r="E22" s="34" t="s">
        <v>162</v>
      </c>
      <c r="F22" s="36" t="b">
        <v>0</v>
      </c>
      <c r="G22" s="36" t="b">
        <v>0</v>
      </c>
      <c r="H22" s="36" t="b">
        <v>0</v>
      </c>
      <c r="I22" s="36" t="b">
        <v>0</v>
      </c>
      <c r="J22" s="38"/>
      <c r="K22" s="47" t="s">
        <v>166</v>
      </c>
      <c r="L22" s="3"/>
    </row>
    <row r="23" ht="53.25" customHeight="1" outlineLevel="1">
      <c r="A23" s="42"/>
      <c r="B23" s="42"/>
      <c r="C23" s="31">
        <f t="shared" si="1"/>
        <v>4</v>
      </c>
      <c r="D23" s="32" t="s">
        <v>169</v>
      </c>
      <c r="E23" s="34" t="s">
        <v>170</v>
      </c>
      <c r="F23" s="36" t="b">
        <v>1</v>
      </c>
      <c r="G23" s="36" t="b">
        <v>1</v>
      </c>
      <c r="H23" s="36" t="b">
        <v>1</v>
      </c>
      <c r="I23" s="36" t="b">
        <v>1</v>
      </c>
      <c r="J23" s="38"/>
      <c r="K23" s="40" t="s">
        <v>172</v>
      </c>
      <c r="L23" s="3"/>
    </row>
    <row r="24" ht="53.25" customHeight="1" outlineLevel="1">
      <c r="A24" s="42"/>
      <c r="B24" s="49"/>
      <c r="C24" s="50">
        <f t="shared" si="1"/>
        <v>0</v>
      </c>
      <c r="D24" s="54" t="s">
        <v>176</v>
      </c>
      <c r="E24" s="56" t="s">
        <v>177</v>
      </c>
      <c r="F24" s="58" t="b">
        <v>0</v>
      </c>
      <c r="G24" s="58" t="b">
        <v>0</v>
      </c>
      <c r="H24" s="58" t="b">
        <v>0</v>
      </c>
      <c r="I24" s="64" t="b">
        <v>0</v>
      </c>
      <c r="J24" s="60"/>
      <c r="K24" s="47" t="s">
        <v>180</v>
      </c>
      <c r="L24" s="3"/>
    </row>
    <row r="25" outlineLevel="1">
      <c r="A25" s="42"/>
      <c r="B25" s="80" t="s">
        <v>123</v>
      </c>
      <c r="C25" s="31">
        <f t="shared" si="1"/>
        <v>1</v>
      </c>
      <c r="D25" s="32" t="s">
        <v>187</v>
      </c>
      <c r="E25" s="34" t="s">
        <v>188</v>
      </c>
      <c r="F25" s="36" t="b">
        <v>0</v>
      </c>
      <c r="G25" s="36" t="b">
        <v>1</v>
      </c>
      <c r="H25" s="36" t="b">
        <v>0</v>
      </c>
      <c r="I25" s="44" t="b">
        <v>0</v>
      </c>
      <c r="J25" s="38"/>
      <c r="K25" s="47" t="s">
        <v>189</v>
      </c>
      <c r="L25" s="3"/>
    </row>
    <row r="26" outlineLevel="1">
      <c r="A26" s="42"/>
      <c r="B26" s="42"/>
      <c r="C26" s="31">
        <f t="shared" si="1"/>
        <v>2</v>
      </c>
      <c r="D26" s="32" t="s">
        <v>190</v>
      </c>
      <c r="E26" s="34" t="s">
        <v>191</v>
      </c>
      <c r="F26" s="36" t="b">
        <v>1</v>
      </c>
      <c r="G26" s="36" t="b">
        <v>0</v>
      </c>
      <c r="H26" s="44" t="b">
        <v>0</v>
      </c>
      <c r="I26" s="36" t="b">
        <v>1</v>
      </c>
      <c r="J26" s="38"/>
      <c r="K26" s="40" t="s">
        <v>196</v>
      </c>
      <c r="L26" s="3"/>
    </row>
    <row r="27" outlineLevel="1">
      <c r="A27" s="42"/>
      <c r="B27" s="49"/>
      <c r="C27" s="50">
        <f t="shared" si="1"/>
        <v>2</v>
      </c>
      <c r="D27" s="54" t="s">
        <v>198</v>
      </c>
      <c r="E27" s="56" t="s">
        <v>199</v>
      </c>
      <c r="F27" s="58" t="b">
        <v>1</v>
      </c>
      <c r="G27" s="58" t="b">
        <v>1</v>
      </c>
      <c r="H27" s="64" t="b">
        <v>0</v>
      </c>
      <c r="I27" s="64" t="b">
        <v>0</v>
      </c>
      <c r="J27" s="60"/>
      <c r="K27" s="66"/>
      <c r="L27" s="3"/>
    </row>
    <row r="28" ht="53.25" customHeight="1" outlineLevel="1">
      <c r="A28" s="42"/>
      <c r="B28" s="82" t="s">
        <v>141</v>
      </c>
      <c r="C28" s="31">
        <f t="shared" si="1"/>
        <v>0</v>
      </c>
      <c r="D28" s="32" t="s">
        <v>204</v>
      </c>
      <c r="E28" s="34" t="s">
        <v>205</v>
      </c>
      <c r="F28" s="36" t="b">
        <v>0</v>
      </c>
      <c r="G28" s="36" t="b">
        <v>0</v>
      </c>
      <c r="H28" s="36" t="b">
        <v>0</v>
      </c>
      <c r="I28" s="44" t="b">
        <v>0</v>
      </c>
      <c r="J28" s="38"/>
      <c r="K28" s="84" t="s">
        <v>206</v>
      </c>
      <c r="L28" s="3"/>
    </row>
    <row r="29" ht="51.75" customHeight="1" outlineLevel="1">
      <c r="A29" s="42"/>
      <c r="B29" s="49"/>
      <c r="C29" s="50">
        <f t="shared" si="1"/>
        <v>2</v>
      </c>
      <c r="D29" s="54" t="s">
        <v>212</v>
      </c>
      <c r="E29" s="56" t="s">
        <v>213</v>
      </c>
      <c r="F29" s="58" t="b">
        <v>1</v>
      </c>
      <c r="G29" s="58" t="b">
        <v>1</v>
      </c>
      <c r="H29" s="58" t="b">
        <v>0</v>
      </c>
      <c r="I29" s="58" t="b">
        <v>0</v>
      </c>
      <c r="J29" s="60"/>
      <c r="K29" s="66"/>
      <c r="L29" s="3"/>
    </row>
    <row r="30" ht="69.75" customHeight="1" outlineLevel="1">
      <c r="A30" s="49"/>
      <c r="B30" s="85" t="s">
        <v>156</v>
      </c>
      <c r="C30" s="50">
        <f t="shared" si="1"/>
        <v>1</v>
      </c>
      <c r="D30" s="54" t="s">
        <v>223</v>
      </c>
      <c r="E30" s="56" t="s">
        <v>224</v>
      </c>
      <c r="F30" s="58" t="b">
        <v>1</v>
      </c>
      <c r="G30" s="58" t="b">
        <v>0</v>
      </c>
      <c r="H30" s="64" t="b">
        <v>0</v>
      </c>
      <c r="I30" s="64" t="b">
        <v>0</v>
      </c>
      <c r="J30" s="60"/>
      <c r="K30" s="66"/>
      <c r="L30" s="3"/>
    </row>
    <row r="31" outlineLevel="1">
      <c r="A31" s="87" t="s">
        <v>183</v>
      </c>
      <c r="B31" s="89" t="s">
        <v>107</v>
      </c>
      <c r="C31" s="31">
        <f t="shared" si="1"/>
        <v>1</v>
      </c>
      <c r="D31" s="32" t="s">
        <v>240</v>
      </c>
      <c r="E31" s="34" t="s">
        <v>162</v>
      </c>
      <c r="F31" s="36" t="b">
        <v>1</v>
      </c>
      <c r="G31" s="36" t="b">
        <v>0</v>
      </c>
      <c r="H31" s="36" t="b">
        <v>0</v>
      </c>
      <c r="I31" s="36" t="b">
        <v>0</v>
      </c>
      <c r="J31" s="38"/>
      <c r="K31" s="40" t="s">
        <v>245</v>
      </c>
      <c r="L31" s="3"/>
    </row>
    <row r="32" outlineLevel="1">
      <c r="A32" s="42"/>
      <c r="B32" s="42"/>
      <c r="C32" s="31">
        <f t="shared" si="1"/>
        <v>4</v>
      </c>
      <c r="D32" s="32" t="s">
        <v>246</v>
      </c>
      <c r="E32" s="34" t="s">
        <v>247</v>
      </c>
      <c r="F32" s="36" t="b">
        <v>1</v>
      </c>
      <c r="G32" s="36" t="b">
        <v>1</v>
      </c>
      <c r="H32" s="36" t="b">
        <v>1</v>
      </c>
      <c r="I32" s="36" t="b">
        <v>1</v>
      </c>
      <c r="J32" s="38"/>
      <c r="K32" s="40" t="s">
        <v>248</v>
      </c>
      <c r="L32" s="3"/>
    </row>
    <row r="33" outlineLevel="1">
      <c r="A33" s="42"/>
      <c r="B33" s="49"/>
      <c r="C33" s="50">
        <f t="shared" si="1"/>
        <v>1</v>
      </c>
      <c r="D33" s="54" t="s">
        <v>249</v>
      </c>
      <c r="E33" s="56" t="s">
        <v>250</v>
      </c>
      <c r="F33" s="58" t="b">
        <v>0</v>
      </c>
      <c r="G33" s="58" t="b">
        <v>0</v>
      </c>
      <c r="H33" s="58" t="b">
        <v>0</v>
      </c>
      <c r="I33" s="58" t="b">
        <v>1</v>
      </c>
      <c r="J33" s="60"/>
      <c r="K33" s="47"/>
      <c r="L33" s="3"/>
    </row>
    <row r="34" outlineLevel="1">
      <c r="A34" s="42"/>
      <c r="B34" s="92" t="s">
        <v>123</v>
      </c>
      <c r="C34" s="31">
        <f t="shared" si="1"/>
        <v>4</v>
      </c>
      <c r="D34" s="32" t="s">
        <v>255</v>
      </c>
      <c r="E34" s="34" t="s">
        <v>256</v>
      </c>
      <c r="F34" s="36" t="b">
        <v>1</v>
      </c>
      <c r="G34" s="36" t="b">
        <v>1</v>
      </c>
      <c r="H34" s="36" t="b">
        <v>1</v>
      </c>
      <c r="I34" s="36" t="b">
        <v>1</v>
      </c>
      <c r="J34" s="38"/>
      <c r="K34" s="47" t="s">
        <v>209</v>
      </c>
      <c r="L34" s="3"/>
    </row>
    <row r="35" outlineLevel="1">
      <c r="A35" s="42"/>
      <c r="B35" s="42"/>
      <c r="C35" s="31">
        <f t="shared" si="1"/>
        <v>2</v>
      </c>
      <c r="D35" s="32" t="s">
        <v>258</v>
      </c>
      <c r="E35" s="34" t="s">
        <v>259</v>
      </c>
      <c r="F35" s="36" t="b">
        <v>1</v>
      </c>
      <c r="G35" s="36" t="b">
        <v>1</v>
      </c>
      <c r="H35" s="36" t="b">
        <v>0</v>
      </c>
      <c r="I35" s="44" t="b">
        <v>0</v>
      </c>
      <c r="J35" s="38"/>
      <c r="K35" s="47"/>
      <c r="L35" s="3"/>
    </row>
    <row r="36" outlineLevel="1">
      <c r="A36" s="42"/>
      <c r="B36" s="49"/>
      <c r="C36" s="50">
        <f t="shared" si="1"/>
        <v>2</v>
      </c>
      <c r="D36" s="54" t="s">
        <v>260</v>
      </c>
      <c r="E36" s="56" t="s">
        <v>261</v>
      </c>
      <c r="F36" s="58" t="b">
        <v>1</v>
      </c>
      <c r="G36" s="58" t="b">
        <v>1</v>
      </c>
      <c r="H36" s="58" t="b">
        <v>0</v>
      </c>
      <c r="I36" s="64" t="b">
        <v>0</v>
      </c>
      <c r="J36" s="60"/>
      <c r="K36" s="47"/>
      <c r="L36" s="3"/>
    </row>
    <row r="37" ht="30.75" customHeight="1" outlineLevel="1">
      <c r="A37" s="42"/>
      <c r="B37" s="96" t="s">
        <v>141</v>
      </c>
      <c r="C37" s="31">
        <f t="shared" si="1"/>
        <v>1</v>
      </c>
      <c r="D37" s="32" t="s">
        <v>265</v>
      </c>
      <c r="E37" s="34" t="s">
        <v>266</v>
      </c>
      <c r="F37" s="36" t="b">
        <v>1</v>
      </c>
      <c r="G37" s="36" t="b">
        <v>0</v>
      </c>
      <c r="H37" s="44" t="b">
        <v>0</v>
      </c>
      <c r="I37" s="44" t="b">
        <v>0</v>
      </c>
      <c r="J37" s="38"/>
      <c r="K37" s="40" t="s">
        <v>245</v>
      </c>
      <c r="L37" s="3"/>
    </row>
    <row r="38" ht="27.75" customHeight="1" outlineLevel="1">
      <c r="A38" s="42"/>
      <c r="B38" s="42"/>
      <c r="C38" s="31">
        <f t="shared" si="1"/>
        <v>2</v>
      </c>
      <c r="D38" s="32" t="s">
        <v>267</v>
      </c>
      <c r="E38" s="34" t="s">
        <v>268</v>
      </c>
      <c r="F38" s="36" t="b">
        <v>1</v>
      </c>
      <c r="G38" s="36" t="b">
        <v>0</v>
      </c>
      <c r="H38" s="44" t="b">
        <v>0</v>
      </c>
      <c r="I38" s="36" t="b">
        <v>1</v>
      </c>
      <c r="J38" s="38"/>
      <c r="K38" s="40"/>
      <c r="L38" s="3"/>
    </row>
    <row r="39" ht="54.0" customHeight="1" outlineLevel="1">
      <c r="A39" s="42"/>
      <c r="B39" s="49"/>
      <c r="C39" s="50">
        <f t="shared" si="1"/>
        <v>2</v>
      </c>
      <c r="D39" s="54" t="s">
        <v>269</v>
      </c>
      <c r="E39" s="56" t="s">
        <v>270</v>
      </c>
      <c r="F39" s="58" t="b">
        <v>1</v>
      </c>
      <c r="G39" s="58" t="b">
        <v>1</v>
      </c>
      <c r="H39" s="64" t="b">
        <v>0</v>
      </c>
      <c r="I39" s="64" t="b">
        <v>0</v>
      </c>
      <c r="J39" s="60"/>
      <c r="K39" s="66"/>
      <c r="L39" s="3"/>
    </row>
    <row r="40" ht="69.75" customHeight="1" outlineLevel="1">
      <c r="A40" s="49"/>
      <c r="B40" s="101" t="s">
        <v>156</v>
      </c>
      <c r="C40" s="31">
        <f t="shared" si="1"/>
        <v>1</v>
      </c>
      <c r="D40" s="54" t="s">
        <v>271</v>
      </c>
      <c r="E40" s="56" t="s">
        <v>224</v>
      </c>
      <c r="F40" s="58" t="b">
        <v>1</v>
      </c>
      <c r="G40" s="58" t="b">
        <v>0</v>
      </c>
      <c r="H40" s="64" t="b">
        <v>0</v>
      </c>
      <c r="I40" s="64" t="b">
        <v>0</v>
      </c>
      <c r="J40" s="66"/>
      <c r="K40" s="66"/>
      <c r="L40" s="3"/>
    </row>
    <row r="41">
      <c r="A41" s="91"/>
      <c r="B41" s="91"/>
      <c r="C41" s="91"/>
      <c r="D41" s="91"/>
      <c r="E41" s="91"/>
      <c r="F41" s="91"/>
      <c r="G41" s="91"/>
      <c r="H41" s="91"/>
      <c r="I41" s="91"/>
      <c r="J41" s="91"/>
      <c r="K41" s="91"/>
      <c r="L41" s="3"/>
    </row>
    <row r="42" ht="54.0" customHeight="1" outlineLevel="1">
      <c r="A42" s="93" t="s">
        <v>2</v>
      </c>
      <c r="C42" s="94" t="s">
        <v>257</v>
      </c>
      <c r="D42" s="8">
        <f>countif(L45:L80,TRUE)</f>
        <v>0</v>
      </c>
      <c r="E42" s="95" t="s">
        <v>273</v>
      </c>
      <c r="F42" s="94" t="s">
        <v>263</v>
      </c>
      <c r="H42" s="97">
        <f>IFERROR(__xludf.DUMMYFUNCTION("COUNTUNIQUE(D5:D40)"),36.0)</f>
        <v>36</v>
      </c>
      <c r="I42" s="98" t="s">
        <v>264</v>
      </c>
      <c r="J42" s="99"/>
      <c r="K42" s="99">
        <f>H42/3</f>
        <v>12</v>
      </c>
      <c r="L42" s="3"/>
    </row>
    <row r="43">
      <c r="A43" s="103" t="s">
        <v>272</v>
      </c>
      <c r="B43" s="104"/>
      <c r="C43" s="105">
        <v>3.0</v>
      </c>
      <c r="D43" s="3"/>
      <c r="E43" s="106" t="s">
        <v>274</v>
      </c>
      <c r="F43" s="3"/>
      <c r="G43" s="3"/>
      <c r="H43" s="3"/>
      <c r="I43" s="3"/>
      <c r="J43" s="3"/>
      <c r="K43" s="3"/>
      <c r="L43" s="3"/>
    </row>
    <row r="44">
      <c r="A44" s="107" t="s">
        <v>8</v>
      </c>
      <c r="B44" s="20"/>
      <c r="C44" s="23" t="s">
        <v>10</v>
      </c>
      <c r="D44" s="108" t="s">
        <v>11</v>
      </c>
      <c r="E44" s="26" t="s">
        <v>12</v>
      </c>
      <c r="F44" s="23" t="s">
        <v>13</v>
      </c>
      <c r="G44" s="23" t="s">
        <v>14</v>
      </c>
      <c r="H44" s="23" t="s">
        <v>15</v>
      </c>
      <c r="I44" s="23" t="s">
        <v>16</v>
      </c>
      <c r="J44" s="23"/>
      <c r="K44" s="23" t="s">
        <v>17</v>
      </c>
      <c r="L44" s="25" t="s">
        <v>275</v>
      </c>
      <c r="U44" s="12"/>
    </row>
    <row r="45">
      <c r="A45" s="27" t="s">
        <v>18</v>
      </c>
      <c r="B45" s="29" t="s">
        <v>19</v>
      </c>
      <c r="C45" s="31">
        <f t="shared" ref="C45:C80" si="4">countif(F45:I45,TRUE)</f>
        <v>4</v>
      </c>
      <c r="D45" s="3" t="str">
        <f t="shared" ref="D45:I45" si="2">if($C5&gt;$C$43,D5,"")</f>
        <v>RF.K.1</v>
      </c>
      <c r="E45" s="109" t="str">
        <f t="shared" si="2"/>
        <v>Demonstrate understanding of the organization and basic features of print.</v>
      </c>
      <c r="F45" s="110" t="b">
        <f t="shared" si="2"/>
        <v>1</v>
      </c>
      <c r="G45" s="110" t="b">
        <f t="shared" si="2"/>
        <v>1</v>
      </c>
      <c r="H45" s="110" t="b">
        <f t="shared" si="2"/>
        <v>1</v>
      </c>
      <c r="I45" s="110" t="b">
        <f t="shared" si="2"/>
        <v>1</v>
      </c>
      <c r="J45" s="3"/>
      <c r="K45" s="109" t="str">
        <f t="shared" ref="K45:K80" si="6">if($C5&gt;$C$43,K5,"")</f>
        <v>Umbrella Standard</v>
      </c>
      <c r="L45" s="111" t="b">
        <v>0</v>
      </c>
      <c r="M45" s="3" t="str">
        <f t="shared" ref="M45:U45" si="3">if($L45=TRUE,C45,"")</f>
        <v/>
      </c>
      <c r="N45" s="3" t="str">
        <f t="shared" si="3"/>
        <v/>
      </c>
      <c r="O45" s="3" t="str">
        <f t="shared" si="3"/>
        <v/>
      </c>
      <c r="P45" s="3" t="str">
        <f t="shared" si="3"/>
        <v/>
      </c>
      <c r="Q45" s="3" t="str">
        <f t="shared" si="3"/>
        <v/>
      </c>
      <c r="R45" s="3" t="str">
        <f t="shared" si="3"/>
        <v/>
      </c>
      <c r="S45" s="3" t="str">
        <f t="shared" si="3"/>
        <v/>
      </c>
      <c r="T45" s="3" t="str">
        <f t="shared" si="3"/>
        <v/>
      </c>
      <c r="U45" s="112" t="str">
        <f t="shared" si="3"/>
        <v/>
      </c>
    </row>
    <row r="46">
      <c r="A46" s="42"/>
      <c r="B46" s="42"/>
      <c r="C46" s="31">
        <f t="shared" si="4"/>
        <v>0</v>
      </c>
      <c r="D46" s="3" t="str">
        <f t="shared" ref="D46:I46" si="5">if($C6&gt;$C$43,D6,"")</f>
        <v/>
      </c>
      <c r="E46" s="109" t="str">
        <f t="shared" si="5"/>
        <v/>
      </c>
      <c r="F46" s="110" t="str">
        <f t="shared" si="5"/>
        <v/>
      </c>
      <c r="G46" s="110" t="str">
        <f t="shared" si="5"/>
        <v/>
      </c>
      <c r="H46" s="110" t="str">
        <f t="shared" si="5"/>
        <v/>
      </c>
      <c r="I46" s="110" t="str">
        <f t="shared" si="5"/>
        <v/>
      </c>
      <c r="J46" s="3"/>
      <c r="K46" s="109" t="str">
        <f t="shared" si="6"/>
        <v/>
      </c>
      <c r="L46" s="113" t="b">
        <v>0</v>
      </c>
      <c r="M46" s="3" t="str">
        <f t="shared" ref="M46:U46" si="7">if($L46=TRUE,C46,"")</f>
        <v/>
      </c>
      <c r="N46" s="3" t="str">
        <f t="shared" si="7"/>
        <v/>
      </c>
      <c r="O46" s="3" t="str">
        <f t="shared" si="7"/>
        <v/>
      </c>
      <c r="P46" s="3" t="str">
        <f t="shared" si="7"/>
        <v/>
      </c>
      <c r="Q46" s="3" t="str">
        <f t="shared" si="7"/>
        <v/>
      </c>
      <c r="R46" s="3" t="str">
        <f t="shared" si="7"/>
        <v/>
      </c>
      <c r="S46" s="3" t="str">
        <f t="shared" si="7"/>
        <v/>
      </c>
      <c r="T46" s="3" t="str">
        <f t="shared" si="7"/>
        <v/>
      </c>
      <c r="U46" s="112" t="str">
        <f t="shared" si="7"/>
        <v/>
      </c>
    </row>
    <row r="47">
      <c r="A47" s="42"/>
      <c r="B47" s="42"/>
      <c r="C47" s="31">
        <f t="shared" si="4"/>
        <v>0</v>
      </c>
      <c r="D47" s="3" t="str">
        <f t="shared" ref="D47:I47" si="8">if($C7&gt;$C$43,D7,"")</f>
        <v/>
      </c>
      <c r="E47" s="109" t="str">
        <f t="shared" si="8"/>
        <v/>
      </c>
      <c r="F47" s="110" t="str">
        <f t="shared" si="8"/>
        <v/>
      </c>
      <c r="G47" s="110" t="str">
        <f t="shared" si="8"/>
        <v/>
      </c>
      <c r="H47" s="110" t="str">
        <f t="shared" si="8"/>
        <v/>
      </c>
      <c r="I47" s="110" t="str">
        <f t="shared" si="8"/>
        <v/>
      </c>
      <c r="J47" s="3"/>
      <c r="K47" s="109" t="str">
        <f t="shared" si="6"/>
        <v/>
      </c>
      <c r="L47" s="113" t="b">
        <v>0</v>
      </c>
      <c r="M47" s="3" t="str">
        <f t="shared" ref="M47:U47" si="9">if($L47=TRUE,C47,"")</f>
        <v/>
      </c>
      <c r="N47" s="3" t="str">
        <f t="shared" si="9"/>
        <v/>
      </c>
      <c r="O47" s="3" t="str">
        <f t="shared" si="9"/>
        <v/>
      </c>
      <c r="P47" s="3" t="str">
        <f t="shared" si="9"/>
        <v/>
      </c>
      <c r="Q47" s="3" t="str">
        <f t="shared" si="9"/>
        <v/>
      </c>
      <c r="R47" s="3" t="str">
        <f t="shared" si="9"/>
        <v/>
      </c>
      <c r="S47" s="3" t="str">
        <f t="shared" si="9"/>
        <v/>
      </c>
      <c r="T47" s="3" t="str">
        <f t="shared" si="9"/>
        <v/>
      </c>
      <c r="U47" s="112" t="str">
        <f t="shared" si="9"/>
        <v/>
      </c>
    </row>
    <row r="48">
      <c r="A48" s="42"/>
      <c r="B48" s="42"/>
      <c r="C48" s="31">
        <f t="shared" si="4"/>
        <v>0</v>
      </c>
      <c r="D48" s="3" t="str">
        <f t="shared" ref="D48:I48" si="10">if($C8&gt;$C$43,D8,"")</f>
        <v/>
      </c>
      <c r="E48" s="109" t="str">
        <f t="shared" si="10"/>
        <v/>
      </c>
      <c r="F48" s="110" t="str">
        <f t="shared" si="10"/>
        <v/>
      </c>
      <c r="G48" s="110" t="str">
        <f t="shared" si="10"/>
        <v/>
      </c>
      <c r="H48" s="110" t="str">
        <f t="shared" si="10"/>
        <v/>
      </c>
      <c r="I48" s="110" t="str">
        <f t="shared" si="10"/>
        <v/>
      </c>
      <c r="J48" s="3"/>
      <c r="K48" s="109" t="str">
        <f t="shared" si="6"/>
        <v/>
      </c>
      <c r="L48" s="111" t="b">
        <v>0</v>
      </c>
      <c r="M48" s="3" t="str">
        <f t="shared" ref="M48:U48" si="11">if($L48=TRUE,C48,"")</f>
        <v/>
      </c>
      <c r="N48" s="3" t="str">
        <f t="shared" si="11"/>
        <v/>
      </c>
      <c r="O48" s="3" t="str">
        <f t="shared" si="11"/>
        <v/>
      </c>
      <c r="P48" s="3" t="str">
        <f t="shared" si="11"/>
        <v/>
      </c>
      <c r="Q48" s="3" t="str">
        <f t="shared" si="11"/>
        <v/>
      </c>
      <c r="R48" s="3" t="str">
        <f t="shared" si="11"/>
        <v/>
      </c>
      <c r="S48" s="3" t="str">
        <f t="shared" si="11"/>
        <v/>
      </c>
      <c r="T48" s="3" t="str">
        <f t="shared" si="11"/>
        <v/>
      </c>
      <c r="U48" s="112" t="str">
        <f t="shared" si="11"/>
        <v/>
      </c>
    </row>
    <row r="49">
      <c r="A49" s="42"/>
      <c r="B49" s="49"/>
      <c r="C49" s="50">
        <f t="shared" si="4"/>
        <v>4</v>
      </c>
      <c r="D49" s="3" t="str">
        <f t="shared" ref="D49:I49" si="12">if($C9&gt;$C$43,D9,"")</f>
        <v>RF.K.1d</v>
      </c>
      <c r="E49" s="109" t="str">
        <f t="shared" si="12"/>
        <v>Recognize and name all upper- and lowercase letters of the alphabet.</v>
      </c>
      <c r="F49" s="110" t="b">
        <f t="shared" si="12"/>
        <v>1</v>
      </c>
      <c r="G49" s="110" t="b">
        <f t="shared" si="12"/>
        <v>1</v>
      </c>
      <c r="H49" s="110" t="b">
        <f t="shared" si="12"/>
        <v>1</v>
      </c>
      <c r="I49" s="110" t="b">
        <f t="shared" si="12"/>
        <v>1</v>
      </c>
      <c r="J49" s="3"/>
      <c r="K49" s="109" t="str">
        <f t="shared" si="6"/>
        <v>Foundational for reading skills</v>
      </c>
      <c r="L49" s="113" t="b">
        <v>0</v>
      </c>
      <c r="M49" s="3" t="str">
        <f t="shared" ref="M49:U49" si="13">if($L49=TRUE,C49,"")</f>
        <v/>
      </c>
      <c r="N49" s="3" t="str">
        <f t="shared" si="13"/>
        <v/>
      </c>
      <c r="O49" s="3" t="str">
        <f t="shared" si="13"/>
        <v/>
      </c>
      <c r="P49" s="3" t="str">
        <f t="shared" si="13"/>
        <v/>
      </c>
      <c r="Q49" s="3" t="str">
        <f t="shared" si="13"/>
        <v/>
      </c>
      <c r="R49" s="3" t="str">
        <f t="shared" si="13"/>
        <v/>
      </c>
      <c r="S49" s="3" t="str">
        <f t="shared" si="13"/>
        <v/>
      </c>
      <c r="T49" s="3" t="str">
        <f t="shared" si="13"/>
        <v/>
      </c>
      <c r="U49" s="112" t="str">
        <f t="shared" si="13"/>
        <v/>
      </c>
    </row>
    <row r="50">
      <c r="A50" s="42"/>
      <c r="B50" s="62" t="s">
        <v>56</v>
      </c>
      <c r="C50" s="31">
        <f t="shared" si="4"/>
        <v>4</v>
      </c>
      <c r="D50" s="3" t="str">
        <f t="shared" ref="D50:I50" si="14">if($C10&gt;$C$43,D10,"")</f>
        <v>RF.K.2</v>
      </c>
      <c r="E50" s="109" t="str">
        <f t="shared" si="14"/>
        <v>Demonstrate understanding of spoken words, syllables, and sounds (phonemes).</v>
      </c>
      <c r="F50" s="110" t="b">
        <f t="shared" si="14"/>
        <v>1</v>
      </c>
      <c r="G50" s="110" t="b">
        <f t="shared" si="14"/>
        <v>1</v>
      </c>
      <c r="H50" s="110" t="b">
        <f t="shared" si="14"/>
        <v>1</v>
      </c>
      <c r="I50" s="110" t="b">
        <f t="shared" si="14"/>
        <v>1</v>
      </c>
      <c r="J50" s="3"/>
      <c r="K50" s="109" t="str">
        <f t="shared" si="6"/>
        <v>Umbrella Standard. Foundations for letter sounds</v>
      </c>
      <c r="L50" s="111" t="b">
        <v>0</v>
      </c>
      <c r="M50" s="3" t="str">
        <f t="shared" ref="M50:U50" si="15">if($L50=TRUE,C50,"")</f>
        <v/>
      </c>
      <c r="N50" s="3" t="str">
        <f t="shared" si="15"/>
        <v/>
      </c>
      <c r="O50" s="3" t="str">
        <f t="shared" si="15"/>
        <v/>
      </c>
      <c r="P50" s="3" t="str">
        <f t="shared" si="15"/>
        <v/>
      </c>
      <c r="Q50" s="3" t="str">
        <f t="shared" si="15"/>
        <v/>
      </c>
      <c r="R50" s="3" t="str">
        <f t="shared" si="15"/>
        <v/>
      </c>
      <c r="S50" s="3" t="str">
        <f t="shared" si="15"/>
        <v/>
      </c>
      <c r="T50" s="3" t="str">
        <f t="shared" si="15"/>
        <v/>
      </c>
      <c r="U50" s="112" t="str">
        <f t="shared" si="15"/>
        <v/>
      </c>
    </row>
    <row r="51">
      <c r="A51" s="42"/>
      <c r="B51" s="42"/>
      <c r="C51" s="31">
        <f t="shared" si="4"/>
        <v>0</v>
      </c>
      <c r="D51" s="3" t="str">
        <f t="shared" ref="D51:I51" si="16">if($C11&gt;$C$43,D11,"")</f>
        <v/>
      </c>
      <c r="E51" s="109" t="str">
        <f t="shared" si="16"/>
        <v/>
      </c>
      <c r="F51" s="110" t="str">
        <f t="shared" si="16"/>
        <v/>
      </c>
      <c r="G51" s="110" t="str">
        <f t="shared" si="16"/>
        <v/>
      </c>
      <c r="H51" s="110" t="str">
        <f t="shared" si="16"/>
        <v/>
      </c>
      <c r="I51" s="110" t="str">
        <f t="shared" si="16"/>
        <v/>
      </c>
      <c r="J51" s="3"/>
      <c r="K51" s="109" t="str">
        <f t="shared" si="6"/>
        <v/>
      </c>
      <c r="L51" s="111" t="b">
        <v>0</v>
      </c>
      <c r="M51" s="3" t="str">
        <f t="shared" ref="M51:U51" si="17">if($L51=TRUE,C51,"")</f>
        <v/>
      </c>
      <c r="N51" s="3" t="str">
        <f t="shared" si="17"/>
        <v/>
      </c>
      <c r="O51" s="3" t="str">
        <f t="shared" si="17"/>
        <v/>
      </c>
      <c r="P51" s="3" t="str">
        <f t="shared" si="17"/>
        <v/>
      </c>
      <c r="Q51" s="3" t="str">
        <f t="shared" si="17"/>
        <v/>
      </c>
      <c r="R51" s="3" t="str">
        <f t="shared" si="17"/>
        <v/>
      </c>
      <c r="S51" s="3" t="str">
        <f t="shared" si="17"/>
        <v/>
      </c>
      <c r="T51" s="3" t="str">
        <f t="shared" si="17"/>
        <v/>
      </c>
      <c r="U51" s="112" t="str">
        <f t="shared" si="17"/>
        <v/>
      </c>
    </row>
    <row r="52">
      <c r="A52" s="42"/>
      <c r="B52" s="42"/>
      <c r="C52" s="31">
        <f t="shared" si="4"/>
        <v>0</v>
      </c>
      <c r="D52" s="3" t="str">
        <f t="shared" ref="D52:I52" si="18">if($C12&gt;$C$43,D12,"")</f>
        <v/>
      </c>
      <c r="E52" s="109" t="str">
        <f t="shared" si="18"/>
        <v/>
      </c>
      <c r="F52" s="110" t="str">
        <f t="shared" si="18"/>
        <v/>
      </c>
      <c r="G52" s="110" t="str">
        <f t="shared" si="18"/>
        <v/>
      </c>
      <c r="H52" s="110" t="str">
        <f t="shared" si="18"/>
        <v/>
      </c>
      <c r="I52" s="110" t="str">
        <f t="shared" si="18"/>
        <v/>
      </c>
      <c r="J52" s="3"/>
      <c r="K52" s="109" t="str">
        <f t="shared" si="6"/>
        <v/>
      </c>
      <c r="L52" s="111" t="b">
        <v>0</v>
      </c>
      <c r="M52" s="3" t="str">
        <f t="shared" ref="M52:U52" si="19">if($L52=TRUE,C52,"")</f>
        <v/>
      </c>
      <c r="N52" s="3" t="str">
        <f t="shared" si="19"/>
        <v/>
      </c>
      <c r="O52" s="3" t="str">
        <f t="shared" si="19"/>
        <v/>
      </c>
      <c r="P52" s="3" t="str">
        <f t="shared" si="19"/>
        <v/>
      </c>
      <c r="Q52" s="3" t="str">
        <f t="shared" si="19"/>
        <v/>
      </c>
      <c r="R52" s="3" t="str">
        <f t="shared" si="19"/>
        <v/>
      </c>
      <c r="S52" s="3" t="str">
        <f t="shared" si="19"/>
        <v/>
      </c>
      <c r="T52" s="3" t="str">
        <f t="shared" si="19"/>
        <v/>
      </c>
      <c r="U52" s="112" t="str">
        <f t="shared" si="19"/>
        <v/>
      </c>
    </row>
    <row r="53">
      <c r="A53" s="42"/>
      <c r="B53" s="42"/>
      <c r="C53" s="31">
        <f t="shared" si="4"/>
        <v>0</v>
      </c>
      <c r="D53" s="3" t="str">
        <f t="shared" ref="D53:I53" si="20">if($C13&gt;$C$43,D13,"")</f>
        <v/>
      </c>
      <c r="E53" s="109" t="str">
        <f t="shared" si="20"/>
        <v/>
      </c>
      <c r="F53" s="110" t="str">
        <f t="shared" si="20"/>
        <v/>
      </c>
      <c r="G53" s="110" t="str">
        <f t="shared" si="20"/>
        <v/>
      </c>
      <c r="H53" s="110" t="str">
        <f t="shared" si="20"/>
        <v/>
      </c>
      <c r="I53" s="110" t="str">
        <f t="shared" si="20"/>
        <v/>
      </c>
      <c r="J53" s="3"/>
      <c r="K53" s="109" t="str">
        <f t="shared" si="6"/>
        <v/>
      </c>
      <c r="L53" s="113" t="b">
        <v>0</v>
      </c>
      <c r="M53" s="3" t="str">
        <f t="shared" ref="M53:U53" si="21">if($L53=TRUE,C53,"")</f>
        <v/>
      </c>
      <c r="N53" s="3" t="str">
        <f t="shared" si="21"/>
        <v/>
      </c>
      <c r="O53" s="3" t="str">
        <f t="shared" si="21"/>
        <v/>
      </c>
      <c r="P53" s="3" t="str">
        <f t="shared" si="21"/>
        <v/>
      </c>
      <c r="Q53" s="3" t="str">
        <f t="shared" si="21"/>
        <v/>
      </c>
      <c r="R53" s="3" t="str">
        <f t="shared" si="21"/>
        <v/>
      </c>
      <c r="S53" s="3" t="str">
        <f t="shared" si="21"/>
        <v/>
      </c>
      <c r="T53" s="3" t="str">
        <f t="shared" si="21"/>
        <v/>
      </c>
      <c r="U53" s="112" t="str">
        <f t="shared" si="21"/>
        <v/>
      </c>
    </row>
    <row r="54">
      <c r="A54" s="42"/>
      <c r="B54" s="42"/>
      <c r="C54" s="31">
        <f t="shared" si="4"/>
        <v>0</v>
      </c>
      <c r="D54" s="3" t="str">
        <f t="shared" ref="D54:I54" si="22">if($C14&gt;$C$43,D14,"")</f>
        <v/>
      </c>
      <c r="E54" s="109" t="str">
        <f t="shared" si="22"/>
        <v/>
      </c>
      <c r="F54" s="110" t="str">
        <f t="shared" si="22"/>
        <v/>
      </c>
      <c r="G54" s="110" t="str">
        <f t="shared" si="22"/>
        <v/>
      </c>
      <c r="H54" s="110" t="str">
        <f t="shared" si="22"/>
        <v/>
      </c>
      <c r="I54" s="110" t="str">
        <f t="shared" si="22"/>
        <v/>
      </c>
      <c r="J54" s="3"/>
      <c r="K54" s="109" t="str">
        <f t="shared" si="6"/>
        <v/>
      </c>
      <c r="L54" s="113" t="b">
        <v>0</v>
      </c>
      <c r="M54" s="3" t="str">
        <f t="shared" ref="M54:U54" si="23">if($L54=TRUE,C54,"")</f>
        <v/>
      </c>
      <c r="N54" s="3" t="str">
        <f t="shared" si="23"/>
        <v/>
      </c>
      <c r="O54" s="3" t="str">
        <f t="shared" si="23"/>
        <v/>
      </c>
      <c r="P54" s="3" t="str">
        <f t="shared" si="23"/>
        <v/>
      </c>
      <c r="Q54" s="3" t="str">
        <f t="shared" si="23"/>
        <v/>
      </c>
      <c r="R54" s="3" t="str">
        <f t="shared" si="23"/>
        <v/>
      </c>
      <c r="S54" s="3" t="str">
        <f t="shared" si="23"/>
        <v/>
      </c>
      <c r="T54" s="3" t="str">
        <f t="shared" si="23"/>
        <v/>
      </c>
      <c r="U54" s="112" t="str">
        <f t="shared" si="23"/>
        <v/>
      </c>
    </row>
    <row r="55">
      <c r="A55" s="42"/>
      <c r="B55" s="49"/>
      <c r="C55" s="50">
        <f t="shared" si="4"/>
        <v>0</v>
      </c>
      <c r="D55" s="3" t="str">
        <f t="shared" ref="D55:I55" si="24">if($C15&gt;$C$43,D15,"")</f>
        <v/>
      </c>
      <c r="E55" s="109" t="str">
        <f t="shared" si="24"/>
        <v/>
      </c>
      <c r="F55" s="110" t="str">
        <f t="shared" si="24"/>
        <v/>
      </c>
      <c r="G55" s="110" t="str">
        <f t="shared" si="24"/>
        <v/>
      </c>
      <c r="H55" s="110" t="str">
        <f t="shared" si="24"/>
        <v/>
      </c>
      <c r="I55" s="110" t="str">
        <f t="shared" si="24"/>
        <v/>
      </c>
      <c r="J55" s="3"/>
      <c r="K55" s="109" t="str">
        <f t="shared" si="6"/>
        <v/>
      </c>
      <c r="L55" s="113" t="b">
        <v>0</v>
      </c>
      <c r="M55" s="3" t="str">
        <f t="shared" ref="M55:U55" si="25">if($L55=TRUE,C55,"")</f>
        <v/>
      </c>
      <c r="N55" s="3" t="str">
        <f t="shared" si="25"/>
        <v/>
      </c>
      <c r="O55" s="3" t="str">
        <f t="shared" si="25"/>
        <v/>
      </c>
      <c r="P55" s="3" t="str">
        <f t="shared" si="25"/>
        <v/>
      </c>
      <c r="Q55" s="3" t="str">
        <f t="shared" si="25"/>
        <v/>
      </c>
      <c r="R55" s="3" t="str">
        <f t="shared" si="25"/>
        <v/>
      </c>
      <c r="S55" s="3" t="str">
        <f t="shared" si="25"/>
        <v/>
      </c>
      <c r="T55" s="3" t="str">
        <f t="shared" si="25"/>
        <v/>
      </c>
      <c r="U55" s="112" t="str">
        <f t="shared" si="25"/>
        <v/>
      </c>
    </row>
    <row r="56">
      <c r="A56" s="42"/>
      <c r="B56" s="68" t="s">
        <v>25</v>
      </c>
      <c r="C56" s="31">
        <f t="shared" si="4"/>
        <v>4</v>
      </c>
      <c r="D56" s="3" t="str">
        <f t="shared" ref="D56:I56" si="26">if($C16&gt;$C$43,D16,"")</f>
        <v>RF.K.3</v>
      </c>
      <c r="E56" s="109" t="str">
        <f t="shared" si="26"/>
        <v>Know and apply grade-level phonics and word analysis skills in decoding words.</v>
      </c>
      <c r="F56" s="110" t="b">
        <f t="shared" si="26"/>
        <v>1</v>
      </c>
      <c r="G56" s="110" t="b">
        <f t="shared" si="26"/>
        <v>1</v>
      </c>
      <c r="H56" s="110" t="b">
        <f t="shared" si="26"/>
        <v>1</v>
      </c>
      <c r="I56" s="110" t="b">
        <f t="shared" si="26"/>
        <v>1</v>
      </c>
      <c r="J56" s="3"/>
      <c r="K56" s="109" t="str">
        <f t="shared" si="6"/>
        <v>Essential for the foundations of reading </v>
      </c>
      <c r="L56" s="113" t="b">
        <v>0</v>
      </c>
      <c r="M56" s="3" t="str">
        <f t="shared" ref="M56:U56" si="27">if($L56=TRUE,C56,"")</f>
        <v/>
      </c>
      <c r="N56" s="3" t="str">
        <f t="shared" si="27"/>
        <v/>
      </c>
      <c r="O56" s="3" t="str">
        <f t="shared" si="27"/>
        <v/>
      </c>
      <c r="P56" s="3" t="str">
        <f t="shared" si="27"/>
        <v/>
      </c>
      <c r="Q56" s="3" t="str">
        <f t="shared" si="27"/>
        <v/>
      </c>
      <c r="R56" s="3" t="str">
        <f t="shared" si="27"/>
        <v/>
      </c>
      <c r="S56" s="3" t="str">
        <f t="shared" si="27"/>
        <v/>
      </c>
      <c r="T56" s="3" t="str">
        <f t="shared" si="27"/>
        <v/>
      </c>
      <c r="U56" s="112" t="str">
        <f t="shared" si="27"/>
        <v/>
      </c>
    </row>
    <row r="57">
      <c r="A57" s="42"/>
      <c r="B57" s="42"/>
      <c r="C57" s="31">
        <f t="shared" si="4"/>
        <v>0</v>
      </c>
      <c r="D57" s="3" t="str">
        <f t="shared" ref="D57:I57" si="28">if($C17&gt;$C$43,D17,"")</f>
        <v/>
      </c>
      <c r="E57" s="109" t="str">
        <f t="shared" si="28"/>
        <v/>
      </c>
      <c r="F57" s="110" t="str">
        <f t="shared" si="28"/>
        <v/>
      </c>
      <c r="G57" s="110" t="str">
        <f t="shared" si="28"/>
        <v/>
      </c>
      <c r="H57" s="110" t="str">
        <f t="shared" si="28"/>
        <v/>
      </c>
      <c r="I57" s="110" t="str">
        <f t="shared" si="28"/>
        <v/>
      </c>
      <c r="J57" s="3"/>
      <c r="K57" s="109" t="str">
        <f t="shared" si="6"/>
        <v/>
      </c>
      <c r="L57" s="113" t="b">
        <v>0</v>
      </c>
      <c r="M57" s="3" t="str">
        <f t="shared" ref="M57:U57" si="29">if($L57=TRUE,C57,"")</f>
        <v/>
      </c>
      <c r="N57" s="3" t="str">
        <f t="shared" si="29"/>
        <v/>
      </c>
      <c r="O57" s="3" t="str">
        <f t="shared" si="29"/>
        <v/>
      </c>
      <c r="P57" s="3" t="str">
        <f t="shared" si="29"/>
        <v/>
      </c>
      <c r="Q57" s="3" t="str">
        <f t="shared" si="29"/>
        <v/>
      </c>
      <c r="R57" s="3" t="str">
        <f t="shared" si="29"/>
        <v/>
      </c>
      <c r="S57" s="3" t="str">
        <f t="shared" si="29"/>
        <v/>
      </c>
      <c r="T57" s="3" t="str">
        <f t="shared" si="29"/>
        <v/>
      </c>
      <c r="U57" s="112" t="str">
        <f t="shared" si="29"/>
        <v/>
      </c>
    </row>
    <row r="58">
      <c r="A58" s="42"/>
      <c r="B58" s="42"/>
      <c r="C58" s="31">
        <f t="shared" si="4"/>
        <v>0</v>
      </c>
      <c r="D58" s="3" t="str">
        <f t="shared" ref="D58:I58" si="30">if($C18&gt;$C$43,D18,"")</f>
        <v/>
      </c>
      <c r="E58" s="109" t="str">
        <f t="shared" si="30"/>
        <v/>
      </c>
      <c r="F58" s="110" t="str">
        <f t="shared" si="30"/>
        <v/>
      </c>
      <c r="G58" s="110" t="str">
        <f t="shared" si="30"/>
        <v/>
      </c>
      <c r="H58" s="110" t="str">
        <f t="shared" si="30"/>
        <v/>
      </c>
      <c r="I58" s="110" t="str">
        <f t="shared" si="30"/>
        <v/>
      </c>
      <c r="J58" s="3"/>
      <c r="K58" s="109" t="str">
        <f t="shared" si="6"/>
        <v/>
      </c>
      <c r="L58" s="111" t="b">
        <v>0</v>
      </c>
      <c r="M58" s="3" t="str">
        <f t="shared" ref="M58:U58" si="31">if($L58=TRUE,C58,"")</f>
        <v/>
      </c>
      <c r="N58" s="3" t="str">
        <f t="shared" si="31"/>
        <v/>
      </c>
      <c r="O58" s="3" t="str">
        <f t="shared" si="31"/>
        <v/>
      </c>
      <c r="P58" s="3" t="str">
        <f t="shared" si="31"/>
        <v/>
      </c>
      <c r="Q58" s="3" t="str">
        <f t="shared" si="31"/>
        <v/>
      </c>
      <c r="R58" s="3" t="str">
        <f t="shared" si="31"/>
        <v/>
      </c>
      <c r="S58" s="3" t="str">
        <f t="shared" si="31"/>
        <v/>
      </c>
      <c r="T58" s="3" t="str">
        <f t="shared" si="31"/>
        <v/>
      </c>
      <c r="U58" s="112" t="str">
        <f t="shared" si="31"/>
        <v/>
      </c>
    </row>
    <row r="59">
      <c r="A59" s="42"/>
      <c r="B59" s="42"/>
      <c r="C59" s="31">
        <f t="shared" si="4"/>
        <v>4</v>
      </c>
      <c r="D59" s="3" t="str">
        <f t="shared" ref="D59:I59" si="32">if($C19&gt;$C$43,D19,"")</f>
        <v>RF.K.3c</v>
      </c>
      <c r="E59" s="109" t="str">
        <f t="shared" si="32"/>
        <v>Read common high-frequency words by sight (e.g., the, of, to, you, she, my, is, are, do, does).</v>
      </c>
      <c r="F59" s="110" t="b">
        <f t="shared" si="32"/>
        <v>1</v>
      </c>
      <c r="G59" s="110" t="b">
        <f t="shared" si="32"/>
        <v>1</v>
      </c>
      <c r="H59" s="110" t="b">
        <f t="shared" si="32"/>
        <v>1</v>
      </c>
      <c r="I59" s="110" t="b">
        <f t="shared" si="32"/>
        <v>1</v>
      </c>
      <c r="J59" s="3"/>
      <c r="K59" s="109" t="str">
        <f t="shared" si="6"/>
        <v>Essential for the foundations of reading </v>
      </c>
      <c r="L59" s="111" t="b">
        <v>0</v>
      </c>
      <c r="M59" s="3" t="str">
        <f t="shared" ref="M59:U59" si="33">if($L59=TRUE,C59,"")</f>
        <v/>
      </c>
      <c r="N59" s="3" t="str">
        <f t="shared" si="33"/>
        <v/>
      </c>
      <c r="O59" s="3" t="str">
        <f t="shared" si="33"/>
        <v/>
      </c>
      <c r="P59" s="3" t="str">
        <f t="shared" si="33"/>
        <v/>
      </c>
      <c r="Q59" s="3" t="str">
        <f t="shared" si="33"/>
        <v/>
      </c>
      <c r="R59" s="3" t="str">
        <f t="shared" si="33"/>
        <v/>
      </c>
      <c r="S59" s="3" t="str">
        <f t="shared" si="33"/>
        <v/>
      </c>
      <c r="T59" s="3" t="str">
        <f t="shared" si="33"/>
        <v/>
      </c>
      <c r="U59" s="112" t="str">
        <f t="shared" si="33"/>
        <v/>
      </c>
    </row>
    <row r="60">
      <c r="A60" s="42"/>
      <c r="B60" s="49"/>
      <c r="C60" s="50">
        <f t="shared" si="4"/>
        <v>0</v>
      </c>
      <c r="D60" s="3" t="str">
        <f t="shared" ref="D60:I60" si="34">if($C20&gt;$C$43,D20,"")</f>
        <v/>
      </c>
      <c r="E60" s="109" t="str">
        <f t="shared" si="34"/>
        <v/>
      </c>
      <c r="F60" s="110" t="str">
        <f t="shared" si="34"/>
        <v/>
      </c>
      <c r="G60" s="110" t="str">
        <f t="shared" si="34"/>
        <v/>
      </c>
      <c r="H60" s="110" t="str">
        <f t="shared" si="34"/>
        <v/>
      </c>
      <c r="I60" s="110" t="str">
        <f t="shared" si="34"/>
        <v/>
      </c>
      <c r="J60" s="3"/>
      <c r="K60" s="109" t="str">
        <f t="shared" si="6"/>
        <v/>
      </c>
      <c r="L60" s="113" t="b">
        <v>0</v>
      </c>
      <c r="M60" s="3" t="str">
        <f t="shared" ref="M60:U60" si="35">if($L60=TRUE,C60,"")</f>
        <v/>
      </c>
      <c r="N60" s="3" t="str">
        <f t="shared" si="35"/>
        <v/>
      </c>
      <c r="O60" s="3" t="str">
        <f t="shared" si="35"/>
        <v/>
      </c>
      <c r="P60" s="3" t="str">
        <f t="shared" si="35"/>
        <v/>
      </c>
      <c r="Q60" s="3" t="str">
        <f t="shared" si="35"/>
        <v/>
      </c>
      <c r="R60" s="3" t="str">
        <f t="shared" si="35"/>
        <v/>
      </c>
      <c r="S60" s="3" t="str">
        <f t="shared" si="35"/>
        <v/>
      </c>
      <c r="T60" s="3" t="str">
        <f t="shared" si="35"/>
        <v/>
      </c>
      <c r="U60" s="112" t="str">
        <f t="shared" si="35"/>
        <v/>
      </c>
    </row>
    <row r="61">
      <c r="A61" s="49"/>
      <c r="B61" s="73" t="s">
        <v>66</v>
      </c>
      <c r="C61" s="50">
        <f t="shared" si="4"/>
        <v>4</v>
      </c>
      <c r="D61" s="3" t="str">
        <f t="shared" ref="D61:I61" si="36">if($C21&gt;$C$43,D21,"")</f>
        <v>RF.K.4</v>
      </c>
      <c r="E61" s="109" t="str">
        <f t="shared" si="36"/>
        <v>Read emergent-reader texts with purpose and understanding.</v>
      </c>
      <c r="F61" s="110" t="b">
        <f t="shared" si="36"/>
        <v>1</v>
      </c>
      <c r="G61" s="110" t="b">
        <f t="shared" si="36"/>
        <v>1</v>
      </c>
      <c r="H61" s="110" t="b">
        <f t="shared" si="36"/>
        <v>1</v>
      </c>
      <c r="I61" s="110" t="b">
        <f t="shared" si="36"/>
        <v>1</v>
      </c>
      <c r="J61" s="3"/>
      <c r="K61" s="109" t="str">
        <f t="shared" si="6"/>
        <v>Print concept. </v>
      </c>
      <c r="L61" s="111" t="b">
        <v>0</v>
      </c>
      <c r="M61" s="3" t="str">
        <f t="shared" ref="M61:U61" si="37">if($L61=TRUE,C61,"")</f>
        <v/>
      </c>
      <c r="N61" s="3" t="str">
        <f t="shared" si="37"/>
        <v/>
      </c>
      <c r="O61" s="3" t="str">
        <f t="shared" si="37"/>
        <v/>
      </c>
      <c r="P61" s="3" t="str">
        <f t="shared" si="37"/>
        <v/>
      </c>
      <c r="Q61" s="3" t="str">
        <f t="shared" si="37"/>
        <v/>
      </c>
      <c r="R61" s="3" t="str">
        <f t="shared" si="37"/>
        <v/>
      </c>
      <c r="S61" s="3" t="str">
        <f t="shared" si="37"/>
        <v/>
      </c>
      <c r="T61" s="3" t="str">
        <f t="shared" si="37"/>
        <v/>
      </c>
      <c r="U61" s="112" t="str">
        <f t="shared" si="37"/>
        <v/>
      </c>
    </row>
    <row r="62">
      <c r="A62" s="75" t="s">
        <v>102</v>
      </c>
      <c r="B62" s="77" t="s">
        <v>107</v>
      </c>
      <c r="C62" s="31">
        <f t="shared" si="4"/>
        <v>0</v>
      </c>
      <c r="D62" s="3" t="str">
        <f t="shared" ref="D62:I62" si="38">if($C22&gt;$C$43,D22,"")</f>
        <v/>
      </c>
      <c r="E62" s="109" t="str">
        <f t="shared" si="38"/>
        <v/>
      </c>
      <c r="F62" s="110" t="str">
        <f t="shared" si="38"/>
        <v/>
      </c>
      <c r="G62" s="110" t="str">
        <f t="shared" si="38"/>
        <v/>
      </c>
      <c r="H62" s="110" t="str">
        <f t="shared" si="38"/>
        <v/>
      </c>
      <c r="I62" s="110" t="str">
        <f t="shared" si="38"/>
        <v/>
      </c>
      <c r="J62" s="3"/>
      <c r="K62" s="109" t="str">
        <f t="shared" si="6"/>
        <v/>
      </c>
      <c r="L62" s="111" t="b">
        <v>0</v>
      </c>
      <c r="M62" s="3" t="str">
        <f t="shared" ref="M62:U62" si="39">if($L62=TRUE,C62,"")</f>
        <v/>
      </c>
      <c r="N62" s="3" t="str">
        <f t="shared" si="39"/>
        <v/>
      </c>
      <c r="O62" s="3" t="str">
        <f t="shared" si="39"/>
        <v/>
      </c>
      <c r="P62" s="3" t="str">
        <f t="shared" si="39"/>
        <v/>
      </c>
      <c r="Q62" s="3" t="str">
        <f t="shared" si="39"/>
        <v/>
      </c>
      <c r="R62" s="3" t="str">
        <f t="shared" si="39"/>
        <v/>
      </c>
      <c r="S62" s="3" t="str">
        <f t="shared" si="39"/>
        <v/>
      </c>
      <c r="T62" s="3" t="str">
        <f t="shared" si="39"/>
        <v/>
      </c>
      <c r="U62" s="112" t="str">
        <f t="shared" si="39"/>
        <v/>
      </c>
    </row>
    <row r="63">
      <c r="A63" s="42"/>
      <c r="B63" s="42"/>
      <c r="C63" s="31">
        <f t="shared" si="4"/>
        <v>4</v>
      </c>
      <c r="D63" s="3" t="str">
        <f t="shared" ref="D63:I63" si="40">if($C23&gt;$C$43,D23,"")</f>
        <v>RL.K.2</v>
      </c>
      <c r="E63" s="109" t="str">
        <f t="shared" si="40"/>
        <v>With prompting and support, retell familiar stories, including key details.</v>
      </c>
      <c r="F63" s="110" t="b">
        <f t="shared" si="40"/>
        <v>1</v>
      </c>
      <c r="G63" s="110" t="b">
        <f t="shared" si="40"/>
        <v>1</v>
      </c>
      <c r="H63" s="110" t="b">
        <f t="shared" si="40"/>
        <v>1</v>
      </c>
      <c r="I63" s="110" t="b">
        <f t="shared" si="40"/>
        <v>1</v>
      </c>
      <c r="J63" s="3"/>
      <c r="K63" s="109" t="str">
        <f t="shared" si="6"/>
        <v>Essential for reading comprehension. Umbrella standard </v>
      </c>
      <c r="L63" s="113" t="b">
        <v>0</v>
      </c>
      <c r="M63" s="3" t="str">
        <f t="shared" ref="M63:U63" si="41">if($L63=TRUE,C63,"")</f>
        <v/>
      </c>
      <c r="N63" s="3" t="str">
        <f t="shared" si="41"/>
        <v/>
      </c>
      <c r="O63" s="3" t="str">
        <f t="shared" si="41"/>
        <v/>
      </c>
      <c r="P63" s="3" t="str">
        <f t="shared" si="41"/>
        <v/>
      </c>
      <c r="Q63" s="3" t="str">
        <f t="shared" si="41"/>
        <v/>
      </c>
      <c r="R63" s="3" t="str">
        <f t="shared" si="41"/>
        <v/>
      </c>
      <c r="S63" s="3" t="str">
        <f t="shared" si="41"/>
        <v/>
      </c>
      <c r="T63" s="3" t="str">
        <f t="shared" si="41"/>
        <v/>
      </c>
      <c r="U63" s="112" t="str">
        <f t="shared" si="41"/>
        <v/>
      </c>
    </row>
    <row r="64">
      <c r="A64" s="42"/>
      <c r="B64" s="49"/>
      <c r="C64" s="50">
        <f t="shared" si="4"/>
        <v>0</v>
      </c>
      <c r="D64" s="3" t="str">
        <f t="shared" ref="D64:I64" si="42">if($C24&gt;$C$43,D24,"")</f>
        <v/>
      </c>
      <c r="E64" s="109" t="str">
        <f t="shared" si="42"/>
        <v/>
      </c>
      <c r="F64" s="110" t="str">
        <f t="shared" si="42"/>
        <v/>
      </c>
      <c r="G64" s="110" t="str">
        <f t="shared" si="42"/>
        <v/>
      </c>
      <c r="H64" s="110" t="str">
        <f t="shared" si="42"/>
        <v/>
      </c>
      <c r="I64" s="110" t="str">
        <f t="shared" si="42"/>
        <v/>
      </c>
      <c r="J64" s="3"/>
      <c r="K64" s="109" t="str">
        <f t="shared" si="6"/>
        <v/>
      </c>
      <c r="L64" s="113" t="b">
        <v>0</v>
      </c>
      <c r="M64" s="3" t="str">
        <f t="shared" ref="M64:U64" si="43">if($L64=TRUE,C64,"")</f>
        <v/>
      </c>
      <c r="N64" s="3" t="str">
        <f t="shared" si="43"/>
        <v/>
      </c>
      <c r="O64" s="3" t="str">
        <f t="shared" si="43"/>
        <v/>
      </c>
      <c r="P64" s="3" t="str">
        <f t="shared" si="43"/>
        <v/>
      </c>
      <c r="Q64" s="3" t="str">
        <f t="shared" si="43"/>
        <v/>
      </c>
      <c r="R64" s="3" t="str">
        <f t="shared" si="43"/>
        <v/>
      </c>
      <c r="S64" s="3" t="str">
        <f t="shared" si="43"/>
        <v/>
      </c>
      <c r="T64" s="3" t="str">
        <f t="shared" si="43"/>
        <v/>
      </c>
      <c r="U64" s="112" t="str">
        <f t="shared" si="43"/>
        <v/>
      </c>
    </row>
    <row r="65">
      <c r="A65" s="42"/>
      <c r="B65" s="80" t="s">
        <v>123</v>
      </c>
      <c r="C65" s="31">
        <f t="shared" si="4"/>
        <v>0</v>
      </c>
      <c r="D65" s="3" t="str">
        <f t="shared" ref="D65:I65" si="44">if($C25&gt;$C$43,D25,"")</f>
        <v/>
      </c>
      <c r="E65" s="109" t="str">
        <f t="shared" si="44"/>
        <v/>
      </c>
      <c r="F65" s="110" t="str">
        <f t="shared" si="44"/>
        <v/>
      </c>
      <c r="G65" s="110" t="str">
        <f t="shared" si="44"/>
        <v/>
      </c>
      <c r="H65" s="110" t="str">
        <f t="shared" si="44"/>
        <v/>
      </c>
      <c r="I65" s="110" t="str">
        <f t="shared" si="44"/>
        <v/>
      </c>
      <c r="J65" s="3"/>
      <c r="K65" s="109" t="str">
        <f t="shared" si="6"/>
        <v/>
      </c>
      <c r="L65" s="111" t="b">
        <v>0</v>
      </c>
      <c r="M65" s="3" t="str">
        <f t="shared" ref="M65:U65" si="45">if($L65=TRUE,C65,"")</f>
        <v/>
      </c>
      <c r="N65" s="3" t="str">
        <f t="shared" si="45"/>
        <v/>
      </c>
      <c r="O65" s="3" t="str">
        <f t="shared" si="45"/>
        <v/>
      </c>
      <c r="P65" s="3" t="str">
        <f t="shared" si="45"/>
        <v/>
      </c>
      <c r="Q65" s="3" t="str">
        <f t="shared" si="45"/>
        <v/>
      </c>
      <c r="R65" s="3" t="str">
        <f t="shared" si="45"/>
        <v/>
      </c>
      <c r="S65" s="3" t="str">
        <f t="shared" si="45"/>
        <v/>
      </c>
      <c r="T65" s="3" t="str">
        <f t="shared" si="45"/>
        <v/>
      </c>
      <c r="U65" s="112" t="str">
        <f t="shared" si="45"/>
        <v/>
      </c>
    </row>
    <row r="66">
      <c r="A66" s="42"/>
      <c r="B66" s="42"/>
      <c r="C66" s="31">
        <f t="shared" si="4"/>
        <v>0</v>
      </c>
      <c r="D66" s="3" t="str">
        <f t="shared" ref="D66:I66" si="46">if($C26&gt;$C$43,D26,"")</f>
        <v/>
      </c>
      <c r="E66" s="109" t="str">
        <f t="shared" si="46"/>
        <v/>
      </c>
      <c r="F66" s="110" t="str">
        <f t="shared" si="46"/>
        <v/>
      </c>
      <c r="G66" s="110" t="str">
        <f t="shared" si="46"/>
        <v/>
      </c>
      <c r="H66" s="110" t="str">
        <f t="shared" si="46"/>
        <v/>
      </c>
      <c r="I66" s="110" t="str">
        <f t="shared" si="46"/>
        <v/>
      </c>
      <c r="J66" s="3"/>
      <c r="K66" s="109" t="str">
        <f t="shared" si="6"/>
        <v/>
      </c>
      <c r="L66" s="113" t="b">
        <v>0</v>
      </c>
      <c r="M66" s="3" t="str">
        <f t="shared" ref="M66:U66" si="47">if($L66=TRUE,C66,"")</f>
        <v/>
      </c>
      <c r="N66" s="3" t="str">
        <f t="shared" si="47"/>
        <v/>
      </c>
      <c r="O66" s="3" t="str">
        <f t="shared" si="47"/>
        <v/>
      </c>
      <c r="P66" s="3" t="str">
        <f t="shared" si="47"/>
        <v/>
      </c>
      <c r="Q66" s="3" t="str">
        <f t="shared" si="47"/>
        <v/>
      </c>
      <c r="R66" s="3" t="str">
        <f t="shared" si="47"/>
        <v/>
      </c>
      <c r="S66" s="3" t="str">
        <f t="shared" si="47"/>
        <v/>
      </c>
      <c r="T66" s="3" t="str">
        <f t="shared" si="47"/>
        <v/>
      </c>
      <c r="U66" s="112" t="str">
        <f t="shared" si="47"/>
        <v/>
      </c>
    </row>
    <row r="67">
      <c r="A67" s="42"/>
      <c r="B67" s="49"/>
      <c r="C67" s="50">
        <f t="shared" si="4"/>
        <v>0</v>
      </c>
      <c r="D67" s="3" t="str">
        <f t="shared" ref="D67:I67" si="48">if($C27&gt;$C$43,D27,"")</f>
        <v/>
      </c>
      <c r="E67" s="109" t="str">
        <f t="shared" si="48"/>
        <v/>
      </c>
      <c r="F67" s="110" t="str">
        <f t="shared" si="48"/>
        <v/>
      </c>
      <c r="G67" s="110" t="str">
        <f t="shared" si="48"/>
        <v/>
      </c>
      <c r="H67" s="110" t="str">
        <f t="shared" si="48"/>
        <v/>
      </c>
      <c r="I67" s="110" t="str">
        <f t="shared" si="48"/>
        <v/>
      </c>
      <c r="J67" s="3"/>
      <c r="K67" s="109" t="str">
        <f t="shared" si="6"/>
        <v/>
      </c>
      <c r="L67" s="113" t="b">
        <v>0</v>
      </c>
      <c r="M67" s="3" t="str">
        <f t="shared" ref="M67:U67" si="49">if($L67=TRUE,C67,"")</f>
        <v/>
      </c>
      <c r="N67" s="3" t="str">
        <f t="shared" si="49"/>
        <v/>
      </c>
      <c r="O67" s="3" t="str">
        <f t="shared" si="49"/>
        <v/>
      </c>
      <c r="P67" s="3" t="str">
        <f t="shared" si="49"/>
        <v/>
      </c>
      <c r="Q67" s="3" t="str">
        <f t="shared" si="49"/>
        <v/>
      </c>
      <c r="R67" s="3" t="str">
        <f t="shared" si="49"/>
        <v/>
      </c>
      <c r="S67" s="3" t="str">
        <f t="shared" si="49"/>
        <v/>
      </c>
      <c r="T67" s="3" t="str">
        <f t="shared" si="49"/>
        <v/>
      </c>
      <c r="U67" s="112" t="str">
        <f t="shared" si="49"/>
        <v/>
      </c>
    </row>
    <row r="68">
      <c r="A68" s="42"/>
      <c r="B68" s="82" t="s">
        <v>141</v>
      </c>
      <c r="C68" s="31">
        <f t="shared" si="4"/>
        <v>0</v>
      </c>
      <c r="D68" s="3" t="str">
        <f t="shared" ref="D68:I68" si="50">if($C28&gt;$C$43,D28,"")</f>
        <v/>
      </c>
      <c r="E68" s="109" t="str">
        <f t="shared" si="50"/>
        <v/>
      </c>
      <c r="F68" s="110" t="str">
        <f t="shared" si="50"/>
        <v/>
      </c>
      <c r="G68" s="110" t="str">
        <f t="shared" si="50"/>
        <v/>
      </c>
      <c r="H68" s="110" t="str">
        <f t="shared" si="50"/>
        <v/>
      </c>
      <c r="I68" s="110" t="str">
        <f t="shared" si="50"/>
        <v/>
      </c>
      <c r="J68" s="3"/>
      <c r="K68" s="109" t="str">
        <f t="shared" si="6"/>
        <v/>
      </c>
      <c r="L68" s="111" t="b">
        <v>0</v>
      </c>
      <c r="M68" s="3" t="str">
        <f t="shared" ref="M68:U68" si="51">if($L68=TRUE,C68,"")</f>
        <v/>
      </c>
      <c r="N68" s="3" t="str">
        <f t="shared" si="51"/>
        <v/>
      </c>
      <c r="O68" s="3" t="str">
        <f t="shared" si="51"/>
        <v/>
      </c>
      <c r="P68" s="3" t="str">
        <f t="shared" si="51"/>
        <v/>
      </c>
      <c r="Q68" s="3" t="str">
        <f t="shared" si="51"/>
        <v/>
      </c>
      <c r="R68" s="3" t="str">
        <f t="shared" si="51"/>
        <v/>
      </c>
      <c r="S68" s="3" t="str">
        <f t="shared" si="51"/>
        <v/>
      </c>
      <c r="T68" s="3" t="str">
        <f t="shared" si="51"/>
        <v/>
      </c>
      <c r="U68" s="112" t="str">
        <f t="shared" si="51"/>
        <v/>
      </c>
    </row>
    <row r="69">
      <c r="A69" s="42"/>
      <c r="B69" s="49"/>
      <c r="C69" s="50">
        <f t="shared" si="4"/>
        <v>0</v>
      </c>
      <c r="D69" s="3" t="str">
        <f t="shared" ref="D69:I69" si="52">if($C29&gt;$C$43,D29,"")</f>
        <v/>
      </c>
      <c r="E69" s="109" t="str">
        <f t="shared" si="52"/>
        <v/>
      </c>
      <c r="F69" s="110" t="str">
        <f t="shared" si="52"/>
        <v/>
      </c>
      <c r="G69" s="110" t="str">
        <f t="shared" si="52"/>
        <v/>
      </c>
      <c r="H69" s="110" t="str">
        <f t="shared" si="52"/>
        <v/>
      </c>
      <c r="I69" s="110" t="str">
        <f t="shared" si="52"/>
        <v/>
      </c>
      <c r="J69" s="3"/>
      <c r="K69" s="109" t="str">
        <f t="shared" si="6"/>
        <v/>
      </c>
      <c r="L69" s="111" t="b">
        <v>0</v>
      </c>
      <c r="M69" s="3" t="str">
        <f t="shared" ref="M69:U69" si="53">if($L69=TRUE,C69,"")</f>
        <v/>
      </c>
      <c r="N69" s="3" t="str">
        <f t="shared" si="53"/>
        <v/>
      </c>
      <c r="O69" s="3" t="str">
        <f t="shared" si="53"/>
        <v/>
      </c>
      <c r="P69" s="3" t="str">
        <f t="shared" si="53"/>
        <v/>
      </c>
      <c r="Q69" s="3" t="str">
        <f t="shared" si="53"/>
        <v/>
      </c>
      <c r="R69" s="3" t="str">
        <f t="shared" si="53"/>
        <v/>
      </c>
      <c r="S69" s="3" t="str">
        <f t="shared" si="53"/>
        <v/>
      </c>
      <c r="T69" s="3" t="str">
        <f t="shared" si="53"/>
        <v/>
      </c>
      <c r="U69" s="112" t="str">
        <f t="shared" si="53"/>
        <v/>
      </c>
    </row>
    <row r="70">
      <c r="A70" s="49"/>
      <c r="B70" s="85" t="s">
        <v>156</v>
      </c>
      <c r="C70" s="50">
        <f t="shared" si="4"/>
        <v>0</v>
      </c>
      <c r="D70" s="3" t="str">
        <f t="shared" ref="D70:I70" si="54">if($C30&gt;$C$43,D30,"")</f>
        <v/>
      </c>
      <c r="E70" s="109" t="str">
        <f t="shared" si="54"/>
        <v/>
      </c>
      <c r="F70" s="110" t="str">
        <f t="shared" si="54"/>
        <v/>
      </c>
      <c r="G70" s="110" t="str">
        <f t="shared" si="54"/>
        <v/>
      </c>
      <c r="H70" s="110" t="str">
        <f t="shared" si="54"/>
        <v/>
      </c>
      <c r="I70" s="110" t="str">
        <f t="shared" si="54"/>
        <v/>
      </c>
      <c r="J70" s="3"/>
      <c r="K70" s="109" t="str">
        <f t="shared" si="6"/>
        <v/>
      </c>
      <c r="L70" s="113" t="b">
        <v>0</v>
      </c>
      <c r="M70" s="3" t="str">
        <f t="shared" ref="M70:U70" si="55">if($L70=TRUE,C70,"")</f>
        <v/>
      </c>
      <c r="N70" s="3" t="str">
        <f t="shared" si="55"/>
        <v/>
      </c>
      <c r="O70" s="3" t="str">
        <f t="shared" si="55"/>
        <v/>
      </c>
      <c r="P70" s="3" t="str">
        <f t="shared" si="55"/>
        <v/>
      </c>
      <c r="Q70" s="3" t="str">
        <f t="shared" si="55"/>
        <v/>
      </c>
      <c r="R70" s="3" t="str">
        <f t="shared" si="55"/>
        <v/>
      </c>
      <c r="S70" s="3" t="str">
        <f t="shared" si="55"/>
        <v/>
      </c>
      <c r="T70" s="3" t="str">
        <f t="shared" si="55"/>
        <v/>
      </c>
      <c r="U70" s="112" t="str">
        <f t="shared" si="55"/>
        <v/>
      </c>
    </row>
    <row r="71">
      <c r="A71" s="87" t="s">
        <v>183</v>
      </c>
      <c r="B71" s="89" t="s">
        <v>107</v>
      </c>
      <c r="C71" s="31">
        <f t="shared" si="4"/>
        <v>0</v>
      </c>
      <c r="D71" s="3" t="str">
        <f t="shared" ref="D71:I71" si="56">if($C31&gt;$C$43,D31,"")</f>
        <v/>
      </c>
      <c r="E71" s="109" t="str">
        <f t="shared" si="56"/>
        <v/>
      </c>
      <c r="F71" s="110" t="str">
        <f t="shared" si="56"/>
        <v/>
      </c>
      <c r="G71" s="110" t="str">
        <f t="shared" si="56"/>
        <v/>
      </c>
      <c r="H71" s="110" t="str">
        <f t="shared" si="56"/>
        <v/>
      </c>
      <c r="I71" s="110" t="str">
        <f t="shared" si="56"/>
        <v/>
      </c>
      <c r="J71" s="3"/>
      <c r="K71" s="109" t="str">
        <f t="shared" si="6"/>
        <v/>
      </c>
      <c r="L71" s="113" t="b">
        <v>0</v>
      </c>
      <c r="M71" s="3" t="str">
        <f t="shared" ref="M71:U71" si="57">if($L71=TRUE,C71,"")</f>
        <v/>
      </c>
      <c r="N71" s="3" t="str">
        <f t="shared" si="57"/>
        <v/>
      </c>
      <c r="O71" s="3" t="str">
        <f t="shared" si="57"/>
        <v/>
      </c>
      <c r="P71" s="3" t="str">
        <f t="shared" si="57"/>
        <v/>
      </c>
      <c r="Q71" s="3" t="str">
        <f t="shared" si="57"/>
        <v/>
      </c>
      <c r="R71" s="3" t="str">
        <f t="shared" si="57"/>
        <v/>
      </c>
      <c r="S71" s="3" t="str">
        <f t="shared" si="57"/>
        <v/>
      </c>
      <c r="T71" s="3" t="str">
        <f t="shared" si="57"/>
        <v/>
      </c>
      <c r="U71" s="112" t="str">
        <f t="shared" si="57"/>
        <v/>
      </c>
    </row>
    <row r="72">
      <c r="A72" s="42"/>
      <c r="B72" s="42"/>
      <c r="C72" s="31">
        <f t="shared" si="4"/>
        <v>4</v>
      </c>
      <c r="D72" s="3" t="str">
        <f t="shared" ref="D72:I72" si="58">if($C32&gt;$C$43,D32,"")</f>
        <v>RI.K.2</v>
      </c>
      <c r="E72" s="109" t="str">
        <f t="shared" si="58"/>
        <v>With prompting and support, identify the main topic and retell key details of a text.</v>
      </c>
      <c r="F72" s="110" t="b">
        <f t="shared" si="58"/>
        <v>1</v>
      </c>
      <c r="G72" s="110" t="b">
        <f t="shared" si="58"/>
        <v>1</v>
      </c>
      <c r="H72" s="110" t="b">
        <f t="shared" si="58"/>
        <v>1</v>
      </c>
      <c r="I72" s="110" t="b">
        <f t="shared" si="58"/>
        <v>1</v>
      </c>
      <c r="J72" s="3"/>
      <c r="K72" s="109" t="str">
        <f t="shared" si="6"/>
        <v>Umbrella standard</v>
      </c>
      <c r="L72" s="113" t="b">
        <v>0</v>
      </c>
      <c r="M72" s="3" t="str">
        <f t="shared" ref="M72:U72" si="59">if($L72=TRUE,C72,"")</f>
        <v/>
      </c>
      <c r="N72" s="3" t="str">
        <f t="shared" si="59"/>
        <v/>
      </c>
      <c r="O72" s="3" t="str">
        <f t="shared" si="59"/>
        <v/>
      </c>
      <c r="P72" s="3" t="str">
        <f t="shared" si="59"/>
        <v/>
      </c>
      <c r="Q72" s="3" t="str">
        <f t="shared" si="59"/>
        <v/>
      </c>
      <c r="R72" s="3" t="str">
        <f t="shared" si="59"/>
        <v/>
      </c>
      <c r="S72" s="3" t="str">
        <f t="shared" si="59"/>
        <v/>
      </c>
      <c r="T72" s="3" t="str">
        <f t="shared" si="59"/>
        <v/>
      </c>
      <c r="U72" s="112" t="str">
        <f t="shared" si="59"/>
        <v/>
      </c>
    </row>
    <row r="73">
      <c r="A73" s="42"/>
      <c r="B73" s="49"/>
      <c r="C73" s="50">
        <f t="shared" si="4"/>
        <v>0</v>
      </c>
      <c r="D73" s="3" t="str">
        <f t="shared" ref="D73:I73" si="60">if($C33&gt;$C$43,D33,"")</f>
        <v/>
      </c>
      <c r="E73" s="109" t="str">
        <f t="shared" si="60"/>
        <v/>
      </c>
      <c r="F73" s="110" t="str">
        <f t="shared" si="60"/>
        <v/>
      </c>
      <c r="G73" s="110" t="str">
        <f t="shared" si="60"/>
        <v/>
      </c>
      <c r="H73" s="110" t="str">
        <f t="shared" si="60"/>
        <v/>
      </c>
      <c r="I73" s="110" t="str">
        <f t="shared" si="60"/>
        <v/>
      </c>
      <c r="J73" s="3"/>
      <c r="K73" s="109" t="str">
        <f t="shared" si="6"/>
        <v/>
      </c>
      <c r="L73" s="111" t="b">
        <v>0</v>
      </c>
      <c r="M73" s="3" t="str">
        <f t="shared" ref="M73:U73" si="61">if($L73=TRUE,C73,"")</f>
        <v/>
      </c>
      <c r="N73" s="3" t="str">
        <f t="shared" si="61"/>
        <v/>
      </c>
      <c r="O73" s="3" t="str">
        <f t="shared" si="61"/>
        <v/>
      </c>
      <c r="P73" s="3" t="str">
        <f t="shared" si="61"/>
        <v/>
      </c>
      <c r="Q73" s="3" t="str">
        <f t="shared" si="61"/>
        <v/>
      </c>
      <c r="R73" s="3" t="str">
        <f t="shared" si="61"/>
        <v/>
      </c>
      <c r="S73" s="3" t="str">
        <f t="shared" si="61"/>
        <v/>
      </c>
      <c r="T73" s="3" t="str">
        <f t="shared" si="61"/>
        <v/>
      </c>
      <c r="U73" s="112" t="str">
        <f t="shared" si="61"/>
        <v/>
      </c>
    </row>
    <row r="74">
      <c r="A74" s="42"/>
      <c r="B74" s="92" t="s">
        <v>123</v>
      </c>
      <c r="C74" s="31">
        <f t="shared" si="4"/>
        <v>4</v>
      </c>
      <c r="D74" s="3" t="str">
        <f t="shared" ref="D74:I74" si="62">if($C34&gt;$C$43,D34,"")</f>
        <v>RI.K.4</v>
      </c>
      <c r="E74" s="109" t="str">
        <f t="shared" si="62"/>
        <v>With prompting and support, ask and answer questions about unknown words in a text.</v>
      </c>
      <c r="F74" s="110" t="b">
        <f t="shared" si="62"/>
        <v>1</v>
      </c>
      <c r="G74" s="110" t="b">
        <f t="shared" si="62"/>
        <v>1</v>
      </c>
      <c r="H74" s="110" t="b">
        <f t="shared" si="62"/>
        <v>1</v>
      </c>
      <c r="I74" s="110" t="b">
        <f t="shared" si="62"/>
        <v>1</v>
      </c>
      <c r="J74" s="3"/>
      <c r="K74" s="109" t="str">
        <f t="shared" si="6"/>
        <v>Vocabulary/Context clues</v>
      </c>
      <c r="L74" s="111" t="b">
        <v>0</v>
      </c>
      <c r="M74" s="3" t="str">
        <f t="shared" ref="M74:U74" si="63">if($L74=TRUE,C74,"")</f>
        <v/>
      </c>
      <c r="N74" s="3" t="str">
        <f t="shared" si="63"/>
        <v/>
      </c>
      <c r="O74" s="3" t="str">
        <f t="shared" si="63"/>
        <v/>
      </c>
      <c r="P74" s="3" t="str">
        <f t="shared" si="63"/>
        <v/>
      </c>
      <c r="Q74" s="3" t="str">
        <f t="shared" si="63"/>
        <v/>
      </c>
      <c r="R74" s="3" t="str">
        <f t="shared" si="63"/>
        <v/>
      </c>
      <c r="S74" s="3" t="str">
        <f t="shared" si="63"/>
        <v/>
      </c>
      <c r="T74" s="3" t="str">
        <f t="shared" si="63"/>
        <v/>
      </c>
      <c r="U74" s="112" t="str">
        <f t="shared" si="63"/>
        <v/>
      </c>
    </row>
    <row r="75">
      <c r="A75" s="42"/>
      <c r="B75" s="42"/>
      <c r="C75" s="31">
        <f t="shared" si="4"/>
        <v>0</v>
      </c>
      <c r="D75" s="3" t="str">
        <f t="shared" ref="D75:I75" si="64">if($C35&gt;$C$43,D35,"")</f>
        <v/>
      </c>
      <c r="E75" s="109" t="str">
        <f t="shared" si="64"/>
        <v/>
      </c>
      <c r="F75" s="110" t="str">
        <f t="shared" si="64"/>
        <v/>
      </c>
      <c r="G75" s="110" t="str">
        <f t="shared" si="64"/>
        <v/>
      </c>
      <c r="H75" s="110" t="str">
        <f t="shared" si="64"/>
        <v/>
      </c>
      <c r="I75" s="110" t="str">
        <f t="shared" si="64"/>
        <v/>
      </c>
      <c r="J75" s="3"/>
      <c r="K75" s="109" t="str">
        <f t="shared" si="6"/>
        <v/>
      </c>
      <c r="L75" s="113" t="b">
        <v>0</v>
      </c>
      <c r="M75" s="3" t="str">
        <f t="shared" ref="M75:U75" si="65">if($L75=TRUE,C75,"")</f>
        <v/>
      </c>
      <c r="N75" s="3" t="str">
        <f t="shared" si="65"/>
        <v/>
      </c>
      <c r="O75" s="3" t="str">
        <f t="shared" si="65"/>
        <v/>
      </c>
      <c r="P75" s="3" t="str">
        <f t="shared" si="65"/>
        <v/>
      </c>
      <c r="Q75" s="3" t="str">
        <f t="shared" si="65"/>
        <v/>
      </c>
      <c r="R75" s="3" t="str">
        <f t="shared" si="65"/>
        <v/>
      </c>
      <c r="S75" s="3" t="str">
        <f t="shared" si="65"/>
        <v/>
      </c>
      <c r="T75" s="3" t="str">
        <f t="shared" si="65"/>
        <v/>
      </c>
      <c r="U75" s="112" t="str">
        <f t="shared" si="65"/>
        <v/>
      </c>
    </row>
    <row r="76">
      <c r="A76" s="42"/>
      <c r="B76" s="49"/>
      <c r="C76" s="50">
        <f t="shared" si="4"/>
        <v>0</v>
      </c>
      <c r="D76" s="3" t="str">
        <f t="shared" ref="D76:I76" si="66">if($C36&gt;$C$43,D36,"")</f>
        <v/>
      </c>
      <c r="E76" s="109" t="str">
        <f t="shared" si="66"/>
        <v/>
      </c>
      <c r="F76" s="110" t="str">
        <f t="shared" si="66"/>
        <v/>
      </c>
      <c r="G76" s="110" t="str">
        <f t="shared" si="66"/>
        <v/>
      </c>
      <c r="H76" s="110" t="str">
        <f t="shared" si="66"/>
        <v/>
      </c>
      <c r="I76" s="110" t="str">
        <f t="shared" si="66"/>
        <v/>
      </c>
      <c r="J76" s="3"/>
      <c r="K76" s="109" t="str">
        <f t="shared" si="6"/>
        <v/>
      </c>
      <c r="L76" s="111" t="b">
        <v>0</v>
      </c>
      <c r="M76" s="3" t="str">
        <f t="shared" ref="M76:U76" si="67">if($L76=TRUE,C76,"")</f>
        <v/>
      </c>
      <c r="N76" s="3" t="str">
        <f t="shared" si="67"/>
        <v/>
      </c>
      <c r="O76" s="3" t="str">
        <f t="shared" si="67"/>
        <v/>
      </c>
      <c r="P76" s="3" t="str">
        <f t="shared" si="67"/>
        <v/>
      </c>
      <c r="Q76" s="3" t="str">
        <f t="shared" si="67"/>
        <v/>
      </c>
      <c r="R76" s="3" t="str">
        <f t="shared" si="67"/>
        <v/>
      </c>
      <c r="S76" s="3" t="str">
        <f t="shared" si="67"/>
        <v/>
      </c>
      <c r="T76" s="3" t="str">
        <f t="shared" si="67"/>
        <v/>
      </c>
      <c r="U76" s="112" t="str">
        <f t="shared" si="67"/>
        <v/>
      </c>
    </row>
    <row r="77">
      <c r="A77" s="42"/>
      <c r="B77" s="96" t="s">
        <v>141</v>
      </c>
      <c r="C77" s="31">
        <f t="shared" si="4"/>
        <v>0</v>
      </c>
      <c r="D77" s="3" t="str">
        <f t="shared" ref="D77:I77" si="68">if($C37&gt;$C$43,D37,"")</f>
        <v/>
      </c>
      <c r="E77" s="109" t="str">
        <f t="shared" si="68"/>
        <v/>
      </c>
      <c r="F77" s="110" t="str">
        <f t="shared" si="68"/>
        <v/>
      </c>
      <c r="G77" s="110" t="str">
        <f t="shared" si="68"/>
        <v/>
      </c>
      <c r="H77" s="110" t="str">
        <f t="shared" si="68"/>
        <v/>
      </c>
      <c r="I77" s="110" t="str">
        <f t="shared" si="68"/>
        <v/>
      </c>
      <c r="J77" s="3"/>
      <c r="K77" s="109" t="str">
        <f t="shared" si="6"/>
        <v/>
      </c>
      <c r="L77" s="113" t="b">
        <v>0</v>
      </c>
      <c r="M77" s="3" t="str">
        <f t="shared" ref="M77:U77" si="69">if($L77=TRUE,C77,"")</f>
        <v/>
      </c>
      <c r="N77" s="3" t="str">
        <f t="shared" si="69"/>
        <v/>
      </c>
      <c r="O77" s="3" t="str">
        <f t="shared" si="69"/>
        <v/>
      </c>
      <c r="P77" s="3" t="str">
        <f t="shared" si="69"/>
        <v/>
      </c>
      <c r="Q77" s="3" t="str">
        <f t="shared" si="69"/>
        <v/>
      </c>
      <c r="R77" s="3" t="str">
        <f t="shared" si="69"/>
        <v/>
      </c>
      <c r="S77" s="3" t="str">
        <f t="shared" si="69"/>
        <v/>
      </c>
      <c r="T77" s="3" t="str">
        <f t="shared" si="69"/>
        <v/>
      </c>
      <c r="U77" s="112" t="str">
        <f t="shared" si="69"/>
        <v/>
      </c>
    </row>
    <row r="78">
      <c r="A78" s="42"/>
      <c r="B78" s="42"/>
      <c r="C78" s="31">
        <f t="shared" si="4"/>
        <v>0</v>
      </c>
      <c r="D78" s="3" t="str">
        <f t="shared" ref="D78:I78" si="70">if($C38&gt;$C$43,D38,"")</f>
        <v/>
      </c>
      <c r="E78" s="109" t="str">
        <f t="shared" si="70"/>
        <v/>
      </c>
      <c r="F78" s="110" t="str">
        <f t="shared" si="70"/>
        <v/>
      </c>
      <c r="G78" s="110" t="str">
        <f t="shared" si="70"/>
        <v/>
      </c>
      <c r="H78" s="110" t="str">
        <f t="shared" si="70"/>
        <v/>
      </c>
      <c r="I78" s="110" t="str">
        <f t="shared" si="70"/>
        <v/>
      </c>
      <c r="J78" s="3"/>
      <c r="K78" s="109" t="str">
        <f t="shared" si="6"/>
        <v/>
      </c>
      <c r="L78" s="113" t="b">
        <v>0</v>
      </c>
      <c r="M78" s="3" t="str">
        <f t="shared" ref="M78:U78" si="71">if($L78=TRUE,C78,"")</f>
        <v/>
      </c>
      <c r="N78" s="3" t="str">
        <f t="shared" si="71"/>
        <v/>
      </c>
      <c r="O78" s="3" t="str">
        <f t="shared" si="71"/>
        <v/>
      </c>
      <c r="P78" s="3" t="str">
        <f t="shared" si="71"/>
        <v/>
      </c>
      <c r="Q78" s="3" t="str">
        <f t="shared" si="71"/>
        <v/>
      </c>
      <c r="R78" s="3" t="str">
        <f t="shared" si="71"/>
        <v/>
      </c>
      <c r="S78" s="3" t="str">
        <f t="shared" si="71"/>
        <v/>
      </c>
      <c r="T78" s="3" t="str">
        <f t="shared" si="71"/>
        <v/>
      </c>
      <c r="U78" s="112" t="str">
        <f t="shared" si="71"/>
        <v/>
      </c>
    </row>
    <row r="79">
      <c r="A79" s="42"/>
      <c r="B79" s="49"/>
      <c r="C79" s="50">
        <f t="shared" si="4"/>
        <v>0</v>
      </c>
      <c r="D79" s="3" t="str">
        <f t="shared" ref="D79:I79" si="72">if($C39&gt;$C$43,D39,"")</f>
        <v/>
      </c>
      <c r="E79" s="109" t="str">
        <f t="shared" si="72"/>
        <v/>
      </c>
      <c r="F79" s="110" t="str">
        <f t="shared" si="72"/>
        <v/>
      </c>
      <c r="G79" s="110" t="str">
        <f t="shared" si="72"/>
        <v/>
      </c>
      <c r="H79" s="110" t="str">
        <f t="shared" si="72"/>
        <v/>
      </c>
      <c r="I79" s="110" t="str">
        <f t="shared" si="72"/>
        <v/>
      </c>
      <c r="J79" s="3"/>
      <c r="K79" s="109" t="str">
        <f t="shared" si="6"/>
        <v/>
      </c>
      <c r="L79" s="113" t="b">
        <v>0</v>
      </c>
      <c r="M79" s="3" t="str">
        <f t="shared" ref="M79:U79" si="73">if($L79=TRUE,C79,"")</f>
        <v/>
      </c>
      <c r="N79" s="3" t="str">
        <f t="shared" si="73"/>
        <v/>
      </c>
      <c r="O79" s="3" t="str">
        <f t="shared" si="73"/>
        <v/>
      </c>
      <c r="P79" s="3" t="str">
        <f t="shared" si="73"/>
        <v/>
      </c>
      <c r="Q79" s="3" t="str">
        <f t="shared" si="73"/>
        <v/>
      </c>
      <c r="R79" s="3" t="str">
        <f t="shared" si="73"/>
        <v/>
      </c>
      <c r="S79" s="3" t="str">
        <f t="shared" si="73"/>
        <v/>
      </c>
      <c r="T79" s="3" t="str">
        <f t="shared" si="73"/>
        <v/>
      </c>
      <c r="U79" s="112" t="str">
        <f t="shared" si="73"/>
        <v/>
      </c>
    </row>
    <row r="80">
      <c r="A80" s="49"/>
      <c r="B80" s="101" t="s">
        <v>156</v>
      </c>
      <c r="C80" s="31">
        <f t="shared" si="4"/>
        <v>0</v>
      </c>
      <c r="D80" s="3" t="str">
        <f t="shared" ref="D80:I80" si="74">if($C40&gt;$C$43,D40,"")</f>
        <v/>
      </c>
      <c r="E80" s="109" t="str">
        <f t="shared" si="74"/>
        <v/>
      </c>
      <c r="F80" s="110" t="str">
        <f t="shared" si="74"/>
        <v/>
      </c>
      <c r="G80" s="110" t="str">
        <f t="shared" si="74"/>
        <v/>
      </c>
      <c r="H80" s="110" t="str">
        <f t="shared" si="74"/>
        <v/>
      </c>
      <c r="I80" s="110" t="str">
        <f t="shared" si="74"/>
        <v/>
      </c>
      <c r="J80" s="3"/>
      <c r="K80" s="109" t="str">
        <f t="shared" si="6"/>
        <v/>
      </c>
      <c r="L80" s="111" t="b">
        <v>0</v>
      </c>
      <c r="M80" s="3" t="str">
        <f t="shared" ref="M80:U80" si="75">if($L80=TRUE,C80,"")</f>
        <v/>
      </c>
      <c r="N80" s="3" t="str">
        <f t="shared" si="75"/>
        <v/>
      </c>
      <c r="O80" s="3" t="str">
        <f t="shared" si="75"/>
        <v/>
      </c>
      <c r="P80" s="3" t="str">
        <f t="shared" si="75"/>
        <v/>
      </c>
      <c r="Q80" s="3" t="str">
        <f t="shared" si="75"/>
        <v/>
      </c>
      <c r="R80" s="3" t="str">
        <f t="shared" si="75"/>
        <v/>
      </c>
      <c r="S80" s="3" t="str">
        <f t="shared" si="75"/>
        <v/>
      </c>
      <c r="T80" s="3" t="str">
        <f t="shared" si="75"/>
        <v/>
      </c>
      <c r="U80" s="112" t="str">
        <f t="shared" si="75"/>
        <v/>
      </c>
    </row>
  </sheetData>
  <mergeCells count="32">
    <mergeCell ref="A2:B2"/>
    <mergeCell ref="C2:K2"/>
    <mergeCell ref="A3:K3"/>
    <mergeCell ref="A4:B4"/>
    <mergeCell ref="B5:B9"/>
    <mergeCell ref="B10:B15"/>
    <mergeCell ref="B16:B20"/>
    <mergeCell ref="B34:B36"/>
    <mergeCell ref="B37:B39"/>
    <mergeCell ref="F42:G42"/>
    <mergeCell ref="A5:A21"/>
    <mergeCell ref="A22:A30"/>
    <mergeCell ref="B22:B24"/>
    <mergeCell ref="B25:B27"/>
    <mergeCell ref="B28:B29"/>
    <mergeCell ref="A31:A40"/>
    <mergeCell ref="B31:B33"/>
    <mergeCell ref="B56:B60"/>
    <mergeCell ref="B62:B64"/>
    <mergeCell ref="B65:B67"/>
    <mergeCell ref="B68:B69"/>
    <mergeCell ref="A71:A80"/>
    <mergeCell ref="B71:B73"/>
    <mergeCell ref="B74:B76"/>
    <mergeCell ref="B77:B79"/>
    <mergeCell ref="A42:B42"/>
    <mergeCell ref="A43:B43"/>
    <mergeCell ref="A44:B44"/>
    <mergeCell ref="A45:A61"/>
    <mergeCell ref="B45:B49"/>
    <mergeCell ref="B50:B55"/>
    <mergeCell ref="A62:A70"/>
  </mergeCells>
  <conditionalFormatting sqref="C5:C40 C45:C80">
    <cfRule type="cellIs" dxfId="1" priority="1" operator="equal">
      <formula>0</formula>
    </cfRule>
  </conditionalFormatting>
  <conditionalFormatting sqref="C5:C40 C45:C80">
    <cfRule type="cellIs" dxfId="5" priority="2" operator="equal">
      <formula>1</formula>
    </cfRule>
  </conditionalFormatting>
  <conditionalFormatting sqref="C5:C40 C45:C80">
    <cfRule type="cellIs" dxfId="6" priority="3" operator="equal">
      <formula>2</formula>
    </cfRule>
  </conditionalFormatting>
  <conditionalFormatting sqref="C5:C40 C45:C80">
    <cfRule type="cellIs" dxfId="7" priority="4" operator="equal">
      <formula>3</formula>
    </cfRule>
  </conditionalFormatting>
  <conditionalFormatting sqref="C5:C40 C45:C80">
    <cfRule type="cellIs" dxfId="8" priority="5" operator="equal">
      <formula>4</formula>
    </cfRule>
  </conditionalFormatting>
  <conditionalFormatting sqref="D42">
    <cfRule type="expression" dxfId="2" priority="6">
      <formula>D42&gt;K42</formula>
    </cfRule>
  </conditionalFormatting>
  <conditionalFormatting sqref="D42">
    <cfRule type="expression" dxfId="3" priority="7">
      <formula>D42&lt;=K42</formula>
    </cfRule>
  </conditionalFormatting>
  <conditionalFormatting sqref="F45:I80">
    <cfRule type="cellIs" dxfId="0" priority="8" operator="equal">
      <formula>"TRUE"</formula>
    </cfRule>
  </conditionalFormatting>
  <conditionalFormatting sqref="F45:I80">
    <cfRule type="cellIs" dxfId="1" priority="9" operator="equal">
      <formula>"FALSE"</formula>
    </cfRule>
  </conditionalFormatting>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9CB9C"/>
    <outlinePr summaryBelow="0" summaryRight="0"/>
  </sheetPr>
  <sheetViews>
    <sheetView workbookViewId="0"/>
  </sheetViews>
  <sheetFormatPr customHeight="1" defaultColWidth="14.43" defaultRowHeight="15.75" outlineLevelCol="1" outlineLevelRow="1"/>
  <cols>
    <col customWidth="1" min="1" max="1" width="5.14"/>
    <col customWidth="1" min="2" max="2" width="15.86"/>
    <col customWidth="1" min="3" max="3" width="5.14"/>
    <col customWidth="1" min="4" max="4" width="10.86"/>
    <col customWidth="1" min="5" max="5" width="57.29"/>
    <col customWidth="1" min="6" max="9" width="3.0"/>
    <col customWidth="1" min="10" max="10" width="0.86"/>
    <col customWidth="1" min="11" max="11" width="43.0"/>
    <col collapsed="1" customWidth="1" min="12" max="12" width="8.43"/>
    <col hidden="1" min="13" max="21" width="14.43" outlineLevel="1"/>
  </cols>
  <sheetData>
    <row r="1" ht="7.5" customHeight="1">
      <c r="B1" s="2"/>
      <c r="C1" s="4"/>
      <c r="D1" s="4"/>
      <c r="E1" s="4"/>
      <c r="F1" s="4"/>
      <c r="G1" s="4"/>
      <c r="H1" s="4"/>
      <c r="I1" s="4"/>
      <c r="J1" s="4"/>
      <c r="K1" s="4"/>
      <c r="U1" s="12"/>
    </row>
    <row r="2" ht="42.75" customHeight="1" outlineLevel="1">
      <c r="A2" s="6" t="s">
        <v>2</v>
      </c>
      <c r="C2" s="8" t="s">
        <v>4</v>
      </c>
      <c r="U2" s="12"/>
    </row>
    <row r="3">
      <c r="A3" s="15" t="s">
        <v>7</v>
      </c>
      <c r="B3" s="11"/>
      <c r="C3" s="11"/>
      <c r="D3" s="11"/>
      <c r="E3" s="11"/>
      <c r="F3" s="11"/>
      <c r="G3" s="11"/>
      <c r="H3" s="11"/>
      <c r="I3" s="11"/>
      <c r="J3" s="11"/>
      <c r="K3" s="13"/>
      <c r="U3" s="12"/>
    </row>
    <row r="4" outlineLevel="1">
      <c r="A4" s="18" t="s">
        <v>8</v>
      </c>
      <c r="B4" s="20"/>
      <c r="C4" s="23" t="s">
        <v>10</v>
      </c>
      <c r="D4" s="25" t="s">
        <v>11</v>
      </c>
      <c r="E4" s="26" t="s">
        <v>12</v>
      </c>
      <c r="F4" s="23" t="s">
        <v>13</v>
      </c>
      <c r="G4" s="23" t="s">
        <v>14</v>
      </c>
      <c r="H4" s="23" t="s">
        <v>15</v>
      </c>
      <c r="I4" s="23" t="s">
        <v>16</v>
      </c>
      <c r="J4" s="23"/>
      <c r="K4" s="23" t="s">
        <v>17</v>
      </c>
      <c r="U4" s="12"/>
    </row>
    <row r="5" outlineLevel="1">
      <c r="A5" s="28" t="s">
        <v>18</v>
      </c>
      <c r="B5" s="30" t="s">
        <v>19</v>
      </c>
      <c r="C5" s="31">
        <f t="shared" ref="C5:C42" si="1">countif(F5:I5,TRUE)</f>
        <v>4</v>
      </c>
      <c r="D5" s="41" t="s">
        <v>22</v>
      </c>
      <c r="E5" s="43" t="s">
        <v>23</v>
      </c>
      <c r="F5" s="45" t="b">
        <v>1</v>
      </c>
      <c r="G5" s="45" t="b">
        <v>1</v>
      </c>
      <c r="H5" s="45" t="b">
        <v>1</v>
      </c>
      <c r="I5" s="45" t="b">
        <v>1</v>
      </c>
      <c r="J5" s="48"/>
      <c r="K5" s="47" t="s">
        <v>38</v>
      </c>
      <c r="U5" s="12"/>
    </row>
    <row r="6" outlineLevel="1">
      <c r="A6" s="42"/>
      <c r="B6" s="49"/>
      <c r="C6" s="50">
        <f t="shared" si="1"/>
        <v>4</v>
      </c>
      <c r="D6" s="52" t="s">
        <v>43</v>
      </c>
      <c r="E6" s="53" t="s">
        <v>47</v>
      </c>
      <c r="F6" s="55" t="b">
        <v>1</v>
      </c>
      <c r="G6" s="55" t="b">
        <v>1</v>
      </c>
      <c r="H6" s="55" t="b">
        <v>1</v>
      </c>
      <c r="I6" s="55" t="b">
        <v>1</v>
      </c>
      <c r="J6" s="57"/>
      <c r="K6" s="46" t="s">
        <v>38</v>
      </c>
      <c r="U6" s="12"/>
    </row>
    <row r="7" outlineLevel="1">
      <c r="A7" s="42"/>
      <c r="B7" s="59" t="s">
        <v>56</v>
      </c>
      <c r="C7" s="31">
        <f t="shared" si="1"/>
        <v>4</v>
      </c>
      <c r="D7" s="41" t="s">
        <v>57</v>
      </c>
      <c r="E7" s="43" t="s">
        <v>58</v>
      </c>
      <c r="F7" s="45" t="b">
        <v>1</v>
      </c>
      <c r="G7" s="45" t="b">
        <v>1</v>
      </c>
      <c r="H7" s="45" t="b">
        <v>1</v>
      </c>
      <c r="I7" s="45" t="b">
        <v>1</v>
      </c>
      <c r="J7" s="48"/>
      <c r="K7" s="46" t="s">
        <v>38</v>
      </c>
      <c r="U7" s="12"/>
    </row>
    <row r="8" outlineLevel="1">
      <c r="A8" s="42"/>
      <c r="B8" s="42"/>
      <c r="C8" s="31">
        <f t="shared" si="1"/>
        <v>4</v>
      </c>
      <c r="D8" s="41" t="s">
        <v>59</v>
      </c>
      <c r="E8" s="43" t="s">
        <v>60</v>
      </c>
      <c r="F8" s="45" t="b">
        <v>1</v>
      </c>
      <c r="G8" s="45" t="b">
        <v>1</v>
      </c>
      <c r="H8" s="45" t="b">
        <v>1</v>
      </c>
      <c r="I8" s="45" t="b">
        <v>1</v>
      </c>
      <c r="J8" s="48"/>
      <c r="K8" s="46" t="s">
        <v>38</v>
      </c>
      <c r="U8" s="12"/>
    </row>
    <row r="9" outlineLevel="1">
      <c r="A9" s="42"/>
      <c r="B9" s="42"/>
      <c r="C9" s="31">
        <f t="shared" si="1"/>
        <v>4</v>
      </c>
      <c r="D9" s="41" t="s">
        <v>62</v>
      </c>
      <c r="E9" s="43" t="s">
        <v>63</v>
      </c>
      <c r="F9" s="45" t="b">
        <v>1</v>
      </c>
      <c r="G9" s="45" t="b">
        <v>1</v>
      </c>
      <c r="H9" s="45" t="b">
        <v>1</v>
      </c>
      <c r="I9" s="45" t="b">
        <v>1</v>
      </c>
      <c r="J9" s="48"/>
      <c r="K9" s="46" t="s">
        <v>38</v>
      </c>
      <c r="U9" s="12"/>
    </row>
    <row r="10" outlineLevel="1">
      <c r="A10" s="42"/>
      <c r="B10" s="42"/>
      <c r="C10" s="31">
        <f t="shared" si="1"/>
        <v>4</v>
      </c>
      <c r="D10" s="41" t="s">
        <v>64</v>
      </c>
      <c r="E10" s="43" t="s">
        <v>65</v>
      </c>
      <c r="F10" s="45" t="b">
        <v>1</v>
      </c>
      <c r="G10" s="45" t="b">
        <v>1</v>
      </c>
      <c r="H10" s="45" t="b">
        <v>1</v>
      </c>
      <c r="I10" s="45" t="b">
        <v>1</v>
      </c>
      <c r="J10" s="48"/>
      <c r="K10" s="46" t="s">
        <v>38</v>
      </c>
      <c r="U10" s="12"/>
    </row>
    <row r="11" outlineLevel="1">
      <c r="A11" s="42"/>
      <c r="B11" s="49"/>
      <c r="C11" s="50">
        <f t="shared" si="1"/>
        <v>4</v>
      </c>
      <c r="D11" s="52" t="s">
        <v>67</v>
      </c>
      <c r="E11" s="53" t="s">
        <v>68</v>
      </c>
      <c r="F11" s="55" t="b">
        <v>1</v>
      </c>
      <c r="G11" s="55" t="b">
        <v>1</v>
      </c>
      <c r="H11" s="55" t="b">
        <v>1</v>
      </c>
      <c r="I11" s="55" t="b">
        <v>1</v>
      </c>
      <c r="J11" s="57"/>
      <c r="K11" s="46" t="s">
        <v>38</v>
      </c>
      <c r="U11" s="12"/>
    </row>
    <row r="12" outlineLevel="1">
      <c r="A12" s="42"/>
      <c r="B12" s="63" t="s">
        <v>25</v>
      </c>
      <c r="C12" s="31">
        <f t="shared" si="1"/>
        <v>4</v>
      </c>
      <c r="D12" s="41" t="s">
        <v>75</v>
      </c>
      <c r="E12" s="43" t="s">
        <v>76</v>
      </c>
      <c r="F12" s="45" t="b">
        <v>1</v>
      </c>
      <c r="G12" s="45" t="b">
        <v>1</v>
      </c>
      <c r="H12" s="45" t="b">
        <v>1</v>
      </c>
      <c r="I12" s="45" t="b">
        <v>1</v>
      </c>
      <c r="J12" s="48"/>
      <c r="K12" s="46" t="s">
        <v>38</v>
      </c>
      <c r="U12" s="12"/>
    </row>
    <row r="13" outlineLevel="1">
      <c r="A13" s="42"/>
      <c r="B13" s="42"/>
      <c r="C13" s="31">
        <f t="shared" si="1"/>
        <v>4</v>
      </c>
      <c r="D13" s="41" t="s">
        <v>79</v>
      </c>
      <c r="E13" s="43" t="s">
        <v>80</v>
      </c>
      <c r="F13" s="45" t="b">
        <v>1</v>
      </c>
      <c r="G13" s="45" t="b">
        <v>1</v>
      </c>
      <c r="H13" s="45" t="b">
        <v>1</v>
      </c>
      <c r="I13" s="45" t="b">
        <v>1</v>
      </c>
      <c r="J13" s="48"/>
      <c r="K13" s="46" t="s">
        <v>38</v>
      </c>
      <c r="U13" s="12"/>
    </row>
    <row r="14" outlineLevel="1">
      <c r="A14" s="42"/>
      <c r="B14" s="42"/>
      <c r="C14" s="31">
        <f t="shared" si="1"/>
        <v>4</v>
      </c>
      <c r="D14" s="41" t="s">
        <v>86</v>
      </c>
      <c r="E14" s="43" t="s">
        <v>87</v>
      </c>
      <c r="F14" s="45" t="b">
        <v>1</v>
      </c>
      <c r="G14" s="45" t="b">
        <v>1</v>
      </c>
      <c r="H14" s="45" t="b">
        <v>1</v>
      </c>
      <c r="I14" s="45" t="b">
        <v>1</v>
      </c>
      <c r="J14" s="48"/>
      <c r="K14" s="46" t="s">
        <v>38</v>
      </c>
      <c r="U14" s="12"/>
    </row>
    <row r="15" outlineLevel="1">
      <c r="A15" s="42"/>
      <c r="B15" s="42"/>
      <c r="C15" s="31">
        <f t="shared" si="1"/>
        <v>4</v>
      </c>
      <c r="D15" s="41" t="s">
        <v>88</v>
      </c>
      <c r="E15" s="43" t="s">
        <v>89</v>
      </c>
      <c r="F15" s="45" t="b">
        <v>1</v>
      </c>
      <c r="G15" s="45" t="b">
        <v>1</v>
      </c>
      <c r="H15" s="45" t="b">
        <v>1</v>
      </c>
      <c r="I15" s="45" t="b">
        <v>1</v>
      </c>
      <c r="J15" s="48"/>
      <c r="K15" s="46" t="s">
        <v>38</v>
      </c>
      <c r="U15" s="12"/>
    </row>
    <row r="16" outlineLevel="1">
      <c r="A16" s="42"/>
      <c r="B16" s="42"/>
      <c r="C16" s="31">
        <f t="shared" si="1"/>
        <v>4</v>
      </c>
      <c r="D16" s="41" t="s">
        <v>94</v>
      </c>
      <c r="E16" s="43" t="s">
        <v>95</v>
      </c>
      <c r="F16" s="45" t="b">
        <v>1</v>
      </c>
      <c r="G16" s="45" t="b">
        <v>1</v>
      </c>
      <c r="H16" s="45" t="b">
        <v>1</v>
      </c>
      <c r="I16" s="45" t="b">
        <v>1</v>
      </c>
      <c r="J16" s="48"/>
      <c r="K16" s="46" t="s">
        <v>38</v>
      </c>
      <c r="U16" s="12"/>
    </row>
    <row r="17" outlineLevel="1">
      <c r="A17" s="42"/>
      <c r="B17" s="42"/>
      <c r="C17" s="31">
        <f t="shared" si="1"/>
        <v>4</v>
      </c>
      <c r="D17" s="41" t="s">
        <v>98</v>
      </c>
      <c r="E17" s="43" t="s">
        <v>101</v>
      </c>
      <c r="F17" s="45" t="b">
        <v>1</v>
      </c>
      <c r="G17" s="45" t="b">
        <v>1</v>
      </c>
      <c r="H17" s="45" t="b">
        <v>1</v>
      </c>
      <c r="I17" s="45" t="b">
        <v>1</v>
      </c>
      <c r="J17" s="48"/>
      <c r="K17" s="46" t="s">
        <v>38</v>
      </c>
      <c r="U17" s="12"/>
    </row>
    <row r="18" outlineLevel="1">
      <c r="A18" s="42"/>
      <c r="B18" s="42"/>
      <c r="C18" s="31">
        <f t="shared" si="1"/>
        <v>4</v>
      </c>
      <c r="D18" s="41" t="s">
        <v>103</v>
      </c>
      <c r="E18" s="43" t="s">
        <v>104</v>
      </c>
      <c r="F18" s="45" t="b">
        <v>1</v>
      </c>
      <c r="G18" s="45" t="b">
        <v>1</v>
      </c>
      <c r="H18" s="45" t="b">
        <v>1</v>
      </c>
      <c r="I18" s="45" t="b">
        <v>1</v>
      </c>
      <c r="J18" s="48"/>
      <c r="K18" s="46" t="s">
        <v>38</v>
      </c>
      <c r="U18" s="12"/>
    </row>
    <row r="19" outlineLevel="1">
      <c r="A19" s="42"/>
      <c r="B19" s="49"/>
      <c r="C19" s="50">
        <f t="shared" si="1"/>
        <v>4</v>
      </c>
      <c r="D19" s="52" t="s">
        <v>105</v>
      </c>
      <c r="E19" s="53" t="s">
        <v>106</v>
      </c>
      <c r="F19" s="55" t="b">
        <v>1</v>
      </c>
      <c r="G19" s="55" t="b">
        <v>1</v>
      </c>
      <c r="H19" s="55" t="b">
        <v>1</v>
      </c>
      <c r="I19" s="55" t="b">
        <v>1</v>
      </c>
      <c r="J19" s="57"/>
      <c r="K19" s="46" t="s">
        <v>38</v>
      </c>
      <c r="U19" s="12"/>
    </row>
    <row r="20" outlineLevel="1">
      <c r="A20" s="42"/>
      <c r="B20" s="69" t="s">
        <v>25</v>
      </c>
      <c r="C20" s="31">
        <f t="shared" si="1"/>
        <v>4</v>
      </c>
      <c r="D20" s="41" t="s">
        <v>120</v>
      </c>
      <c r="E20" s="43" t="s">
        <v>74</v>
      </c>
      <c r="F20" s="45" t="b">
        <v>1</v>
      </c>
      <c r="G20" s="45" t="b">
        <v>1</v>
      </c>
      <c r="H20" s="45" t="b">
        <v>1</v>
      </c>
      <c r="I20" s="45" t="b">
        <v>1</v>
      </c>
      <c r="J20" s="48"/>
      <c r="K20" s="46" t="s">
        <v>38</v>
      </c>
      <c r="U20" s="12"/>
    </row>
    <row r="21" outlineLevel="1">
      <c r="A21" s="42"/>
      <c r="B21" s="42"/>
      <c r="C21" s="31">
        <f t="shared" si="1"/>
        <v>4</v>
      </c>
      <c r="D21" s="41" t="s">
        <v>126</v>
      </c>
      <c r="E21" s="43" t="s">
        <v>128</v>
      </c>
      <c r="F21" s="45" t="b">
        <v>1</v>
      </c>
      <c r="G21" s="45" t="b">
        <v>1</v>
      </c>
      <c r="H21" s="45" t="b">
        <v>1</v>
      </c>
      <c r="I21" s="45" t="b">
        <v>1</v>
      </c>
      <c r="J21" s="48"/>
      <c r="K21" s="46" t="s">
        <v>38</v>
      </c>
      <c r="U21" s="12"/>
    </row>
    <row r="22" outlineLevel="1">
      <c r="A22" s="42"/>
      <c r="B22" s="42"/>
      <c r="C22" s="31">
        <f t="shared" si="1"/>
        <v>4</v>
      </c>
      <c r="D22" s="41" t="s">
        <v>130</v>
      </c>
      <c r="E22" s="43" t="s">
        <v>91</v>
      </c>
      <c r="F22" s="45" t="b">
        <v>1</v>
      </c>
      <c r="G22" s="45" t="b">
        <v>1</v>
      </c>
      <c r="H22" s="45" t="b">
        <v>1</v>
      </c>
      <c r="I22" s="45" t="b">
        <v>1</v>
      </c>
      <c r="J22" s="48"/>
      <c r="K22" s="46" t="s">
        <v>38</v>
      </c>
      <c r="U22" s="12"/>
    </row>
    <row r="23" outlineLevel="1">
      <c r="A23" s="49"/>
      <c r="B23" s="49"/>
      <c r="C23" s="50">
        <f t="shared" si="1"/>
        <v>4</v>
      </c>
      <c r="D23" s="52" t="s">
        <v>134</v>
      </c>
      <c r="E23" s="53" t="s">
        <v>99</v>
      </c>
      <c r="F23" s="55" t="b">
        <v>1</v>
      </c>
      <c r="G23" s="55" t="b">
        <v>1</v>
      </c>
      <c r="H23" s="55" t="b">
        <v>1</v>
      </c>
      <c r="I23" s="55" t="b">
        <v>1</v>
      </c>
      <c r="J23" s="57"/>
      <c r="K23" s="46" t="s">
        <v>38</v>
      </c>
      <c r="U23" s="12"/>
    </row>
    <row r="24" outlineLevel="1">
      <c r="A24" s="65" t="s">
        <v>102</v>
      </c>
      <c r="B24" s="67" t="s">
        <v>107</v>
      </c>
      <c r="C24" s="31">
        <f t="shared" si="1"/>
        <v>0</v>
      </c>
      <c r="D24" s="41" t="s">
        <v>143</v>
      </c>
      <c r="E24" s="43" t="s">
        <v>144</v>
      </c>
      <c r="F24" s="72" t="b">
        <v>0</v>
      </c>
      <c r="G24" s="45" t="b">
        <v>0</v>
      </c>
      <c r="H24" s="45" t="b">
        <v>0</v>
      </c>
      <c r="I24" s="72" t="b">
        <v>0</v>
      </c>
      <c r="J24" s="48"/>
      <c r="K24" s="47"/>
      <c r="U24" s="12"/>
    </row>
    <row r="25" outlineLevel="1">
      <c r="A25" s="42"/>
      <c r="B25" s="42"/>
      <c r="C25" s="31">
        <f t="shared" si="1"/>
        <v>4</v>
      </c>
      <c r="D25" s="41" t="s">
        <v>146</v>
      </c>
      <c r="E25" s="43" t="s">
        <v>147</v>
      </c>
      <c r="F25" s="45" t="b">
        <v>1</v>
      </c>
      <c r="G25" s="45" t="b">
        <v>1</v>
      </c>
      <c r="H25" s="45" t="b">
        <v>1</v>
      </c>
      <c r="I25" s="45" t="b">
        <v>1</v>
      </c>
      <c r="J25" s="48"/>
      <c r="K25" s="47" t="s">
        <v>151</v>
      </c>
      <c r="U25" s="12"/>
    </row>
    <row r="26" outlineLevel="1">
      <c r="A26" s="42"/>
      <c r="B26" s="49"/>
      <c r="C26" s="50">
        <f t="shared" si="1"/>
        <v>0</v>
      </c>
      <c r="D26" s="52" t="s">
        <v>154</v>
      </c>
      <c r="E26" s="76" t="s">
        <v>155</v>
      </c>
      <c r="F26" s="55" t="b">
        <v>0</v>
      </c>
      <c r="G26" s="55" t="b">
        <v>0</v>
      </c>
      <c r="H26" s="55" t="b">
        <v>0</v>
      </c>
      <c r="I26" s="55" t="b">
        <v>0</v>
      </c>
      <c r="J26" s="57"/>
      <c r="K26" s="47"/>
      <c r="U26" s="12"/>
    </row>
    <row r="27" outlineLevel="1">
      <c r="A27" s="42"/>
      <c r="B27" s="71" t="s">
        <v>123</v>
      </c>
      <c r="C27" s="31">
        <f t="shared" si="1"/>
        <v>1</v>
      </c>
      <c r="D27" s="41" t="s">
        <v>157</v>
      </c>
      <c r="E27" s="43" t="s">
        <v>158</v>
      </c>
      <c r="F27" s="72" t="b">
        <v>0</v>
      </c>
      <c r="G27" s="45" t="b">
        <v>1</v>
      </c>
      <c r="H27" s="72" t="b">
        <v>0</v>
      </c>
      <c r="I27" s="72" t="b">
        <v>0</v>
      </c>
      <c r="J27" s="48"/>
      <c r="K27" s="48"/>
      <c r="U27" s="12"/>
    </row>
    <row r="28" outlineLevel="1">
      <c r="A28" s="42"/>
      <c r="B28" s="42"/>
      <c r="C28" s="31">
        <f t="shared" si="1"/>
        <v>4</v>
      </c>
      <c r="D28" s="41" t="s">
        <v>159</v>
      </c>
      <c r="E28" s="43" t="s">
        <v>160</v>
      </c>
      <c r="F28" s="45" t="b">
        <v>1</v>
      </c>
      <c r="G28" s="45" t="b">
        <v>1</v>
      </c>
      <c r="H28" s="45" t="b">
        <v>1</v>
      </c>
      <c r="I28" s="45" t="b">
        <v>1</v>
      </c>
      <c r="J28" s="48"/>
      <c r="K28" s="47" t="s">
        <v>163</v>
      </c>
      <c r="U28" s="12"/>
    </row>
    <row r="29" outlineLevel="1">
      <c r="A29" s="42"/>
      <c r="B29" s="49"/>
      <c r="C29" s="50">
        <f t="shared" si="1"/>
        <v>1</v>
      </c>
      <c r="D29" s="52" t="s">
        <v>164</v>
      </c>
      <c r="E29" s="53" t="s">
        <v>165</v>
      </c>
      <c r="F29" s="55" t="b">
        <v>1</v>
      </c>
      <c r="G29" s="55" t="b">
        <v>0</v>
      </c>
      <c r="H29" s="55" t="b">
        <v>0</v>
      </c>
      <c r="I29" s="70" t="b">
        <v>0</v>
      </c>
      <c r="J29" s="57"/>
      <c r="K29" s="47"/>
      <c r="U29" s="12"/>
    </row>
    <row r="30" outlineLevel="1">
      <c r="A30" s="42"/>
      <c r="B30" s="74" t="s">
        <v>141</v>
      </c>
      <c r="C30" s="31">
        <f t="shared" si="1"/>
        <v>0</v>
      </c>
      <c r="D30" s="41" t="s">
        <v>173</v>
      </c>
      <c r="E30" s="43" t="s">
        <v>174</v>
      </c>
      <c r="F30" s="72" t="b">
        <v>0</v>
      </c>
      <c r="G30" s="45" t="b">
        <v>0</v>
      </c>
      <c r="H30" s="45" t="b">
        <v>0</v>
      </c>
      <c r="I30" s="45" t="b">
        <v>0</v>
      </c>
      <c r="J30" s="48"/>
      <c r="K30" s="47" t="s">
        <v>175</v>
      </c>
      <c r="U30" s="12"/>
    </row>
    <row r="31" outlineLevel="1">
      <c r="A31" s="42"/>
      <c r="B31" s="49"/>
      <c r="C31" s="50">
        <f t="shared" si="1"/>
        <v>2</v>
      </c>
      <c r="D31" s="52" t="s">
        <v>178</v>
      </c>
      <c r="E31" s="53" t="s">
        <v>179</v>
      </c>
      <c r="F31" s="55" t="b">
        <v>1</v>
      </c>
      <c r="G31" s="55" t="b">
        <v>1</v>
      </c>
      <c r="H31" s="55" t="b">
        <v>0</v>
      </c>
      <c r="I31" s="55" t="b">
        <v>0</v>
      </c>
      <c r="J31" s="57"/>
      <c r="K31" s="47"/>
      <c r="U31" s="12"/>
    </row>
    <row r="32" outlineLevel="1">
      <c r="A32" s="42"/>
      <c r="B32" s="78" t="s">
        <v>156</v>
      </c>
      <c r="C32" s="50">
        <f t="shared" si="1"/>
        <v>0</v>
      </c>
      <c r="D32" s="52" t="s">
        <v>184</v>
      </c>
      <c r="E32" s="53" t="s">
        <v>185</v>
      </c>
      <c r="F32" s="72" t="b">
        <v>0</v>
      </c>
      <c r="G32" s="45" t="b">
        <v>0</v>
      </c>
      <c r="H32" s="72" t="b">
        <v>0</v>
      </c>
      <c r="I32" s="72" t="b">
        <v>0</v>
      </c>
      <c r="J32" s="48"/>
      <c r="K32" s="61" t="s">
        <v>171</v>
      </c>
      <c r="U32" s="12"/>
    </row>
    <row r="33" outlineLevel="1">
      <c r="A33" s="49"/>
      <c r="B33" s="79" t="s">
        <v>107</v>
      </c>
      <c r="C33" s="31">
        <f t="shared" si="1"/>
        <v>0</v>
      </c>
      <c r="D33" s="41" t="s">
        <v>186</v>
      </c>
      <c r="E33" s="43" t="s">
        <v>144</v>
      </c>
      <c r="F33" s="72" t="b">
        <v>0</v>
      </c>
      <c r="G33" s="45" t="b">
        <v>0</v>
      </c>
      <c r="H33" s="72" t="b">
        <v>0</v>
      </c>
      <c r="I33" s="72" t="b">
        <v>0</v>
      </c>
      <c r="J33" s="48"/>
      <c r="K33" s="47"/>
      <c r="U33" s="12"/>
    </row>
    <row r="34" outlineLevel="1">
      <c r="A34" s="81" t="s">
        <v>183</v>
      </c>
      <c r="B34" s="42"/>
      <c r="C34" s="31">
        <f t="shared" si="1"/>
        <v>4</v>
      </c>
      <c r="D34" s="41" t="s">
        <v>192</v>
      </c>
      <c r="E34" s="43" t="s">
        <v>194</v>
      </c>
      <c r="F34" s="45" t="b">
        <v>1</v>
      </c>
      <c r="G34" s="45" t="b">
        <v>1</v>
      </c>
      <c r="H34" s="45" t="b">
        <v>1</v>
      </c>
      <c r="I34" s="45" t="b">
        <v>1</v>
      </c>
      <c r="J34" s="48"/>
      <c r="K34" s="47" t="s">
        <v>197</v>
      </c>
      <c r="U34" s="12"/>
    </row>
    <row r="35" outlineLevel="1">
      <c r="A35" s="42"/>
      <c r="B35" s="49"/>
      <c r="C35" s="50">
        <f t="shared" si="1"/>
        <v>1</v>
      </c>
      <c r="D35" s="52" t="s">
        <v>200</v>
      </c>
      <c r="E35" s="53" t="s">
        <v>201</v>
      </c>
      <c r="F35" s="72" t="b">
        <v>0</v>
      </c>
      <c r="G35" s="45" t="b">
        <v>0</v>
      </c>
      <c r="H35" s="45" t="b">
        <v>0</v>
      </c>
      <c r="I35" s="45" t="b">
        <v>1</v>
      </c>
      <c r="J35" s="48"/>
      <c r="K35" s="47"/>
      <c r="U35" s="12"/>
    </row>
    <row r="36" outlineLevel="1">
      <c r="A36" s="42"/>
      <c r="B36" s="83" t="s">
        <v>123</v>
      </c>
      <c r="C36" s="31">
        <f t="shared" si="1"/>
        <v>4</v>
      </c>
      <c r="D36" s="41" t="s">
        <v>215</v>
      </c>
      <c r="E36" s="43" t="s">
        <v>216</v>
      </c>
      <c r="F36" s="45" t="b">
        <v>1</v>
      </c>
      <c r="G36" s="45" t="b">
        <v>1</v>
      </c>
      <c r="H36" s="45" t="b">
        <v>1</v>
      </c>
      <c r="I36" s="45" t="b">
        <v>1</v>
      </c>
      <c r="J36" s="48"/>
      <c r="K36" s="47" t="s">
        <v>220</v>
      </c>
      <c r="U36" s="12"/>
    </row>
    <row r="37" outlineLevel="1">
      <c r="A37" s="42"/>
      <c r="B37" s="42"/>
      <c r="C37" s="31">
        <f t="shared" si="1"/>
        <v>4</v>
      </c>
      <c r="D37" s="41" t="s">
        <v>221</v>
      </c>
      <c r="E37" s="43" t="s">
        <v>222</v>
      </c>
      <c r="F37" s="45" t="b">
        <v>1</v>
      </c>
      <c r="G37" s="45" t="b">
        <v>1</v>
      </c>
      <c r="H37" s="45" t="b">
        <v>1</v>
      </c>
      <c r="I37" s="45" t="b">
        <v>1</v>
      </c>
      <c r="J37" s="48"/>
      <c r="K37" s="47" t="s">
        <v>225</v>
      </c>
      <c r="U37" s="12"/>
    </row>
    <row r="38" outlineLevel="1">
      <c r="A38" s="42"/>
      <c r="B38" s="49"/>
      <c r="C38" s="50">
        <f t="shared" si="1"/>
        <v>2</v>
      </c>
      <c r="D38" s="52" t="s">
        <v>229</v>
      </c>
      <c r="E38" s="53" t="s">
        <v>230</v>
      </c>
      <c r="F38" s="45" t="b">
        <v>1</v>
      </c>
      <c r="G38" s="45" t="b">
        <v>0</v>
      </c>
      <c r="H38" s="72" t="b">
        <v>0</v>
      </c>
      <c r="I38" s="45" t="b">
        <v>1</v>
      </c>
      <c r="J38" s="48"/>
      <c r="K38" s="57"/>
      <c r="U38" s="12"/>
    </row>
    <row r="39" outlineLevel="1">
      <c r="A39" s="42"/>
      <c r="B39" s="86" t="s">
        <v>141</v>
      </c>
      <c r="C39" s="31">
        <f t="shared" si="1"/>
        <v>0</v>
      </c>
      <c r="D39" s="41" t="s">
        <v>231</v>
      </c>
      <c r="E39" s="43" t="s">
        <v>232</v>
      </c>
      <c r="F39" s="72" t="b">
        <v>0</v>
      </c>
      <c r="G39" s="45" t="b">
        <v>0</v>
      </c>
      <c r="H39" s="72" t="b">
        <v>0</v>
      </c>
      <c r="I39" s="72" t="b">
        <v>0</v>
      </c>
      <c r="J39" s="48"/>
      <c r="K39" s="47" t="s">
        <v>233</v>
      </c>
      <c r="U39" s="12"/>
    </row>
    <row r="40" outlineLevel="1">
      <c r="A40" s="42"/>
      <c r="B40" s="42"/>
      <c r="C40" s="31">
        <f t="shared" si="1"/>
        <v>2</v>
      </c>
      <c r="D40" s="41" t="s">
        <v>236</v>
      </c>
      <c r="E40" s="43" t="s">
        <v>237</v>
      </c>
      <c r="F40" s="45" t="b">
        <v>1</v>
      </c>
      <c r="G40" s="45" t="b">
        <v>0</v>
      </c>
      <c r="H40" s="72" t="b">
        <v>0</v>
      </c>
      <c r="I40" s="45" t="b">
        <v>1</v>
      </c>
      <c r="J40" s="48"/>
      <c r="K40" s="48"/>
      <c r="U40" s="12"/>
    </row>
    <row r="41" outlineLevel="1">
      <c r="A41" s="42"/>
      <c r="B41" s="49"/>
      <c r="C41" s="50">
        <f t="shared" si="1"/>
        <v>2</v>
      </c>
      <c r="D41" s="52" t="s">
        <v>242</v>
      </c>
      <c r="E41" s="53" t="s">
        <v>243</v>
      </c>
      <c r="F41" s="45" t="b">
        <v>1</v>
      </c>
      <c r="G41" s="45" t="b">
        <v>1</v>
      </c>
      <c r="H41" s="72" t="b">
        <v>0</v>
      </c>
      <c r="I41" s="72" t="b">
        <v>0</v>
      </c>
      <c r="J41" s="48"/>
      <c r="K41" s="61" t="s">
        <v>244</v>
      </c>
      <c r="U41" s="12"/>
    </row>
    <row r="42" outlineLevel="1">
      <c r="A42" s="49"/>
      <c r="B42" s="90" t="s">
        <v>156</v>
      </c>
      <c r="C42" s="31">
        <f t="shared" si="1"/>
        <v>0</v>
      </c>
      <c r="D42" s="52" t="s">
        <v>253</v>
      </c>
      <c r="E42" s="53" t="s">
        <v>254</v>
      </c>
      <c r="F42" s="72" t="b">
        <v>0</v>
      </c>
      <c r="G42" s="45" t="b">
        <v>0</v>
      </c>
      <c r="H42" s="72" t="b">
        <v>0</v>
      </c>
      <c r="I42" s="72" t="b">
        <v>0</v>
      </c>
      <c r="J42" s="47"/>
      <c r="K42" s="46" t="s">
        <v>171</v>
      </c>
      <c r="U42" s="12"/>
    </row>
    <row r="43">
      <c r="A43" s="91"/>
      <c r="B43" s="91"/>
      <c r="C43" s="91"/>
      <c r="D43" s="91"/>
      <c r="E43" s="91"/>
      <c r="F43" s="91"/>
      <c r="G43" s="91"/>
      <c r="H43" s="91"/>
      <c r="I43" s="91"/>
      <c r="J43" s="91"/>
      <c r="K43" s="91"/>
      <c r="U43" s="12"/>
    </row>
    <row r="44" ht="71.25" customHeight="1" outlineLevel="1">
      <c r="A44" s="93" t="s">
        <v>2</v>
      </c>
      <c r="C44" s="94" t="s">
        <v>257</v>
      </c>
      <c r="D44" s="8">
        <f>countif(L47:L84,TRUE)</f>
        <v>24</v>
      </c>
      <c r="E44" s="95" t="s">
        <v>262</v>
      </c>
      <c r="F44" s="94" t="s">
        <v>263</v>
      </c>
      <c r="H44" s="97">
        <f>IFERROR(__xludf.DUMMYFUNCTION("COUNTUNIQUE(D5:D42)"),38.0)</f>
        <v>38</v>
      </c>
      <c r="I44" s="98" t="s">
        <v>264</v>
      </c>
      <c r="J44" s="99"/>
      <c r="K44" s="99">
        <f>H44/3</f>
        <v>12.66666667</v>
      </c>
      <c r="L44" s="100"/>
      <c r="M44" s="100"/>
      <c r="N44" s="100"/>
      <c r="O44" s="100"/>
      <c r="P44" s="100"/>
      <c r="Q44" s="100"/>
      <c r="R44" s="100"/>
      <c r="S44" s="100"/>
      <c r="T44" s="100"/>
      <c r="U44" s="102"/>
    </row>
    <row r="45">
      <c r="A45" s="103" t="s">
        <v>272</v>
      </c>
      <c r="B45" s="104"/>
      <c r="C45" s="105">
        <v>3.0</v>
      </c>
      <c r="D45" s="3"/>
      <c r="E45" s="106" t="s">
        <v>274</v>
      </c>
      <c r="F45" s="3"/>
      <c r="G45" s="3"/>
      <c r="H45" s="3"/>
      <c r="I45" s="3"/>
      <c r="J45" s="3"/>
      <c r="K45" s="3"/>
      <c r="U45" s="12"/>
    </row>
    <row r="46">
      <c r="A46" s="107" t="s">
        <v>8</v>
      </c>
      <c r="B46" s="20"/>
      <c r="C46" s="23" t="s">
        <v>10</v>
      </c>
      <c r="D46" s="108" t="s">
        <v>11</v>
      </c>
      <c r="E46" s="26" t="s">
        <v>12</v>
      </c>
      <c r="F46" s="23" t="s">
        <v>13</v>
      </c>
      <c r="G46" s="23" t="s">
        <v>14</v>
      </c>
      <c r="H46" s="23" t="s">
        <v>15</v>
      </c>
      <c r="I46" s="23" t="s">
        <v>16</v>
      </c>
      <c r="J46" s="23"/>
      <c r="K46" s="23" t="s">
        <v>17</v>
      </c>
      <c r="L46" s="25" t="s">
        <v>275</v>
      </c>
      <c r="U46" s="12"/>
    </row>
    <row r="47">
      <c r="A47" s="28" t="s">
        <v>18</v>
      </c>
      <c r="B47" s="30" t="s">
        <v>19</v>
      </c>
      <c r="C47" s="31">
        <f t="shared" ref="C47:C84" si="4">countif(F47:I47,TRUE)</f>
        <v>4</v>
      </c>
      <c r="D47" s="3" t="str">
        <f t="shared" ref="D47:I47" si="2">if($C5&gt;$C$45,D5,"")</f>
        <v>RF.1.1</v>
      </c>
      <c r="E47" s="109" t="str">
        <f t="shared" si="2"/>
        <v>Demonstrate understanding of the organization and basic features of print.</v>
      </c>
      <c r="F47" s="110" t="b">
        <f t="shared" si="2"/>
        <v>1</v>
      </c>
      <c r="G47" s="110" t="b">
        <f t="shared" si="2"/>
        <v>1</v>
      </c>
      <c r="H47" s="110" t="b">
        <f t="shared" si="2"/>
        <v>1</v>
      </c>
      <c r="I47" s="110" t="b">
        <f t="shared" si="2"/>
        <v>1</v>
      </c>
      <c r="J47" s="3"/>
      <c r="K47" s="109" t="str">
        <f t="shared" ref="K47:K84" si="6">if($C5&gt;$C$45,K5,"")</f>
        <v>R - These skills are essential in teaching students to read. E- Reading foundation skills are an essential life skill. A- These skills are assessed on iStation. L- Reading is a skill that will be used in all subjects.</v>
      </c>
      <c r="L47" s="111" t="b">
        <v>1</v>
      </c>
      <c r="M47" s="3">
        <f t="shared" ref="M47:U47" si="3">if($L47=TRUE,C47,"")</f>
        <v>4</v>
      </c>
      <c r="N47" s="3" t="str">
        <f t="shared" si="3"/>
        <v>RF.1.1</v>
      </c>
      <c r="O47" s="3" t="str">
        <f t="shared" si="3"/>
        <v>Demonstrate understanding of the organization and basic features of print.</v>
      </c>
      <c r="P47" s="3" t="b">
        <f t="shared" si="3"/>
        <v>1</v>
      </c>
      <c r="Q47" s="3" t="b">
        <f t="shared" si="3"/>
        <v>1</v>
      </c>
      <c r="R47" s="3" t="b">
        <f t="shared" si="3"/>
        <v>1</v>
      </c>
      <c r="S47" s="3" t="b">
        <f t="shared" si="3"/>
        <v>1</v>
      </c>
      <c r="T47" s="3" t="str">
        <f t="shared" si="3"/>
        <v/>
      </c>
      <c r="U47" s="112" t="str">
        <f t="shared" si="3"/>
        <v>R - These skills are essential in teaching students to read. E- Reading foundation skills are an essential life skill. A- These skills are assessed on iStation. L- Reading is a skill that will be used in all subjects.</v>
      </c>
    </row>
    <row r="48">
      <c r="A48" s="42"/>
      <c r="B48" s="49"/>
      <c r="C48" s="50">
        <f t="shared" si="4"/>
        <v>4</v>
      </c>
      <c r="D48" s="3" t="str">
        <f t="shared" ref="D48:I48" si="5">if($C6&gt;$C$45,D6,"")</f>
        <v>RF.1.1a</v>
      </c>
      <c r="E48" s="109" t="str">
        <f t="shared" si="5"/>
        <v>Recognize the distinguishing features of a sentence (e.g., first word, capitalization, ending punctuation).</v>
      </c>
      <c r="F48" s="110" t="b">
        <f t="shared" si="5"/>
        <v>1</v>
      </c>
      <c r="G48" s="110" t="b">
        <f t="shared" si="5"/>
        <v>1</v>
      </c>
      <c r="H48" s="110" t="b">
        <f t="shared" si="5"/>
        <v>1</v>
      </c>
      <c r="I48" s="110" t="b">
        <f t="shared" si="5"/>
        <v>1</v>
      </c>
      <c r="J48" s="3"/>
      <c r="K48" s="109" t="str">
        <f t="shared" si="6"/>
        <v>R - These skills are essential in teaching students to read. E- Reading foundation skills are an essential life skill. A- These skills are assessed on iStation. L- Reading is a skill that will be used in all subjects.</v>
      </c>
      <c r="L48" s="111" t="b">
        <v>1</v>
      </c>
      <c r="M48" s="3">
        <f t="shared" ref="M48:U48" si="7">if($L48=TRUE,C48,"")</f>
        <v>4</v>
      </c>
      <c r="N48" s="3" t="str">
        <f t="shared" si="7"/>
        <v>RF.1.1a</v>
      </c>
      <c r="O48" s="3" t="str">
        <f t="shared" si="7"/>
        <v>Recognize the distinguishing features of a sentence (e.g., first word, capitalization, ending punctuation).</v>
      </c>
      <c r="P48" s="3" t="b">
        <f t="shared" si="7"/>
        <v>1</v>
      </c>
      <c r="Q48" s="3" t="b">
        <f t="shared" si="7"/>
        <v>1</v>
      </c>
      <c r="R48" s="3" t="b">
        <f t="shared" si="7"/>
        <v>1</v>
      </c>
      <c r="S48" s="3" t="b">
        <f t="shared" si="7"/>
        <v>1</v>
      </c>
      <c r="T48" s="3" t="str">
        <f t="shared" si="7"/>
        <v/>
      </c>
      <c r="U48" s="112" t="str">
        <f t="shared" si="7"/>
        <v>R - These skills are essential in teaching students to read. E- Reading foundation skills are an essential life skill. A- These skills are assessed on iStation. L- Reading is a skill that will be used in all subjects.</v>
      </c>
    </row>
    <row r="49">
      <c r="A49" s="42"/>
      <c r="B49" s="59" t="s">
        <v>56</v>
      </c>
      <c r="C49" s="31">
        <f t="shared" si="4"/>
        <v>4</v>
      </c>
      <c r="D49" s="3" t="str">
        <f t="shared" ref="D49:I49" si="8">if($C7&gt;$C$45,D7,"")</f>
        <v>RF.1.2</v>
      </c>
      <c r="E49" s="109" t="str">
        <f t="shared" si="8"/>
        <v>Demonstrate understanding of spoken words, syllables, and sounds (phonemes).</v>
      </c>
      <c r="F49" s="110" t="b">
        <f t="shared" si="8"/>
        <v>1</v>
      </c>
      <c r="G49" s="110" t="b">
        <f t="shared" si="8"/>
        <v>1</v>
      </c>
      <c r="H49" s="110" t="b">
        <f t="shared" si="8"/>
        <v>1</v>
      </c>
      <c r="I49" s="110" t="b">
        <f t="shared" si="8"/>
        <v>1</v>
      </c>
      <c r="J49" s="3"/>
      <c r="K49" s="109" t="str">
        <f t="shared" si="6"/>
        <v>R - These skills are essential in teaching students to read. E- Reading foundation skills are an essential life skill. A- These skills are assessed on iStation. L- Reading is a skill that will be used in all subjects.</v>
      </c>
      <c r="L49" s="111" t="b">
        <v>1</v>
      </c>
      <c r="M49" s="3">
        <f t="shared" ref="M49:U49" si="9">if($L49=TRUE,C49,"")</f>
        <v>4</v>
      </c>
      <c r="N49" s="3" t="str">
        <f t="shared" si="9"/>
        <v>RF.1.2</v>
      </c>
      <c r="O49" s="3" t="str">
        <f t="shared" si="9"/>
        <v>Demonstrate understanding of spoken words, syllables, and sounds (phonemes).</v>
      </c>
      <c r="P49" s="3" t="b">
        <f t="shared" si="9"/>
        <v>1</v>
      </c>
      <c r="Q49" s="3" t="b">
        <f t="shared" si="9"/>
        <v>1</v>
      </c>
      <c r="R49" s="3" t="b">
        <f t="shared" si="9"/>
        <v>1</v>
      </c>
      <c r="S49" s="3" t="b">
        <f t="shared" si="9"/>
        <v>1</v>
      </c>
      <c r="T49" s="3" t="str">
        <f t="shared" si="9"/>
        <v/>
      </c>
      <c r="U49" s="112" t="str">
        <f t="shared" si="9"/>
        <v>R - These skills are essential in teaching students to read. E- Reading foundation skills are an essential life skill. A- These skills are assessed on iStation. L- Reading is a skill that will be used in all subjects.</v>
      </c>
    </row>
    <row r="50">
      <c r="A50" s="42"/>
      <c r="B50" s="42"/>
      <c r="C50" s="31">
        <f t="shared" si="4"/>
        <v>4</v>
      </c>
      <c r="D50" s="3" t="str">
        <f t="shared" ref="D50:I50" si="10">if($C8&gt;$C$45,D8,"")</f>
        <v>RF.1.2a</v>
      </c>
      <c r="E50" s="109" t="str">
        <f t="shared" si="10"/>
        <v>Distinguish long from short vowel sounds in spoken single-syllable words.</v>
      </c>
      <c r="F50" s="110" t="b">
        <f t="shared" si="10"/>
        <v>1</v>
      </c>
      <c r="G50" s="110" t="b">
        <f t="shared" si="10"/>
        <v>1</v>
      </c>
      <c r="H50" s="110" t="b">
        <f t="shared" si="10"/>
        <v>1</v>
      </c>
      <c r="I50" s="110" t="b">
        <f t="shared" si="10"/>
        <v>1</v>
      </c>
      <c r="J50" s="3"/>
      <c r="K50" s="109" t="str">
        <f t="shared" si="6"/>
        <v>R - These skills are essential in teaching students to read. E- Reading foundation skills are an essential life skill. A- These skills are assessed on iStation. L- Reading is a skill that will be used in all subjects.</v>
      </c>
      <c r="L50" s="111" t="b">
        <v>1</v>
      </c>
      <c r="M50" s="3">
        <f t="shared" ref="M50:U50" si="11">if($L50=TRUE,C50,"")</f>
        <v>4</v>
      </c>
      <c r="N50" s="3" t="str">
        <f t="shared" si="11"/>
        <v>RF.1.2a</v>
      </c>
      <c r="O50" s="3" t="str">
        <f t="shared" si="11"/>
        <v>Distinguish long from short vowel sounds in spoken single-syllable words.</v>
      </c>
      <c r="P50" s="3" t="b">
        <f t="shared" si="11"/>
        <v>1</v>
      </c>
      <c r="Q50" s="3" t="b">
        <f t="shared" si="11"/>
        <v>1</v>
      </c>
      <c r="R50" s="3" t="b">
        <f t="shared" si="11"/>
        <v>1</v>
      </c>
      <c r="S50" s="3" t="b">
        <f t="shared" si="11"/>
        <v>1</v>
      </c>
      <c r="T50" s="3" t="str">
        <f t="shared" si="11"/>
        <v/>
      </c>
      <c r="U50" s="112" t="str">
        <f t="shared" si="11"/>
        <v>R - These skills are essential in teaching students to read. E- Reading foundation skills are an essential life skill. A- These skills are assessed on iStation. L- Reading is a skill that will be used in all subjects.</v>
      </c>
    </row>
    <row r="51">
      <c r="A51" s="42"/>
      <c r="B51" s="42"/>
      <c r="C51" s="31">
        <f t="shared" si="4"/>
        <v>4</v>
      </c>
      <c r="D51" s="3" t="str">
        <f t="shared" ref="D51:I51" si="12">if($C9&gt;$C$45,D9,"")</f>
        <v>RF.1.2b</v>
      </c>
      <c r="E51" s="109" t="str">
        <f t="shared" si="12"/>
        <v>Orally produce single-syllable words by blending sounds (phonemes), including consonant blends.</v>
      </c>
      <c r="F51" s="110" t="b">
        <f t="shared" si="12"/>
        <v>1</v>
      </c>
      <c r="G51" s="110" t="b">
        <f t="shared" si="12"/>
        <v>1</v>
      </c>
      <c r="H51" s="110" t="b">
        <f t="shared" si="12"/>
        <v>1</v>
      </c>
      <c r="I51" s="110" t="b">
        <f t="shared" si="12"/>
        <v>1</v>
      </c>
      <c r="J51" s="3"/>
      <c r="K51" s="109" t="str">
        <f t="shared" si="6"/>
        <v>R - These skills are essential in teaching students to read. E- Reading foundation skills are an essential life skill. A- These skills are assessed on iStation. L- Reading is a skill that will be used in all subjects.</v>
      </c>
      <c r="L51" s="111" t="b">
        <v>1</v>
      </c>
      <c r="M51" s="3">
        <f t="shared" ref="M51:U51" si="13">if($L51=TRUE,C51,"")</f>
        <v>4</v>
      </c>
      <c r="N51" s="3" t="str">
        <f t="shared" si="13"/>
        <v>RF.1.2b</v>
      </c>
      <c r="O51" s="3" t="str">
        <f t="shared" si="13"/>
        <v>Orally produce single-syllable words by blending sounds (phonemes), including consonant blends.</v>
      </c>
      <c r="P51" s="3" t="b">
        <f t="shared" si="13"/>
        <v>1</v>
      </c>
      <c r="Q51" s="3" t="b">
        <f t="shared" si="13"/>
        <v>1</v>
      </c>
      <c r="R51" s="3" t="b">
        <f t="shared" si="13"/>
        <v>1</v>
      </c>
      <c r="S51" s="3" t="b">
        <f t="shared" si="13"/>
        <v>1</v>
      </c>
      <c r="T51" s="3" t="str">
        <f t="shared" si="13"/>
        <v/>
      </c>
      <c r="U51" s="112" t="str">
        <f t="shared" si="13"/>
        <v>R - These skills are essential in teaching students to read. E- Reading foundation skills are an essential life skill. A- These skills are assessed on iStation. L- Reading is a skill that will be used in all subjects.</v>
      </c>
    </row>
    <row r="52">
      <c r="A52" s="42"/>
      <c r="B52" s="42"/>
      <c r="C52" s="31">
        <f t="shared" si="4"/>
        <v>4</v>
      </c>
      <c r="D52" s="3" t="str">
        <f t="shared" ref="D52:I52" si="14">if($C10&gt;$C$45,D10,"")</f>
        <v>RF.1.2c</v>
      </c>
      <c r="E52" s="109" t="str">
        <f t="shared" si="14"/>
        <v>Isolate and pronounce initial, medial vowel, and final sounds (phonemes) in spoken single-syllable words.</v>
      </c>
      <c r="F52" s="110" t="b">
        <f t="shared" si="14"/>
        <v>1</v>
      </c>
      <c r="G52" s="110" t="b">
        <f t="shared" si="14"/>
        <v>1</v>
      </c>
      <c r="H52" s="110" t="b">
        <f t="shared" si="14"/>
        <v>1</v>
      </c>
      <c r="I52" s="110" t="b">
        <f t="shared" si="14"/>
        <v>1</v>
      </c>
      <c r="J52" s="3"/>
      <c r="K52" s="109" t="str">
        <f t="shared" si="6"/>
        <v>R - These skills are essential in teaching students to read. E- Reading foundation skills are an essential life skill. A- These skills are assessed on iStation. L- Reading is a skill that will be used in all subjects.</v>
      </c>
      <c r="L52" s="111" t="b">
        <v>1</v>
      </c>
      <c r="M52" s="3">
        <f t="shared" ref="M52:U52" si="15">if($L52=TRUE,C52,"")</f>
        <v>4</v>
      </c>
      <c r="N52" s="3" t="str">
        <f t="shared" si="15"/>
        <v>RF.1.2c</v>
      </c>
      <c r="O52" s="3" t="str">
        <f t="shared" si="15"/>
        <v>Isolate and pronounce initial, medial vowel, and final sounds (phonemes) in spoken single-syllable words.</v>
      </c>
      <c r="P52" s="3" t="b">
        <f t="shared" si="15"/>
        <v>1</v>
      </c>
      <c r="Q52" s="3" t="b">
        <f t="shared" si="15"/>
        <v>1</v>
      </c>
      <c r="R52" s="3" t="b">
        <f t="shared" si="15"/>
        <v>1</v>
      </c>
      <c r="S52" s="3" t="b">
        <f t="shared" si="15"/>
        <v>1</v>
      </c>
      <c r="T52" s="3" t="str">
        <f t="shared" si="15"/>
        <v/>
      </c>
      <c r="U52" s="112" t="str">
        <f t="shared" si="15"/>
        <v>R - These skills are essential in teaching students to read. E- Reading foundation skills are an essential life skill. A- These skills are assessed on iStation. L- Reading is a skill that will be used in all subjects.</v>
      </c>
    </row>
    <row r="53">
      <c r="A53" s="42"/>
      <c r="B53" s="49"/>
      <c r="C53" s="50">
        <f t="shared" si="4"/>
        <v>4</v>
      </c>
      <c r="D53" s="3" t="str">
        <f t="shared" ref="D53:I53" si="16">if($C11&gt;$C$45,D11,"")</f>
        <v>RF.1.2d</v>
      </c>
      <c r="E53" s="109" t="str">
        <f t="shared" si="16"/>
        <v>Segment spoken single-syllable words into their complete sequence of individual sounds (phonemes).</v>
      </c>
      <c r="F53" s="110" t="b">
        <f t="shared" si="16"/>
        <v>1</v>
      </c>
      <c r="G53" s="110" t="b">
        <f t="shared" si="16"/>
        <v>1</v>
      </c>
      <c r="H53" s="110" t="b">
        <f t="shared" si="16"/>
        <v>1</v>
      </c>
      <c r="I53" s="110" t="b">
        <f t="shared" si="16"/>
        <v>1</v>
      </c>
      <c r="J53" s="3"/>
      <c r="K53" s="109" t="str">
        <f t="shared" si="6"/>
        <v>R - These skills are essential in teaching students to read. E- Reading foundation skills are an essential life skill. A- These skills are assessed on iStation. L- Reading is a skill that will be used in all subjects.</v>
      </c>
      <c r="L53" s="111" t="b">
        <v>1</v>
      </c>
      <c r="M53" s="3">
        <f t="shared" ref="M53:U53" si="17">if($L53=TRUE,C53,"")</f>
        <v>4</v>
      </c>
      <c r="N53" s="3" t="str">
        <f t="shared" si="17"/>
        <v>RF.1.2d</v>
      </c>
      <c r="O53" s="3" t="str">
        <f t="shared" si="17"/>
        <v>Segment spoken single-syllable words into their complete sequence of individual sounds (phonemes).</v>
      </c>
      <c r="P53" s="3" t="b">
        <f t="shared" si="17"/>
        <v>1</v>
      </c>
      <c r="Q53" s="3" t="b">
        <f t="shared" si="17"/>
        <v>1</v>
      </c>
      <c r="R53" s="3" t="b">
        <f t="shared" si="17"/>
        <v>1</v>
      </c>
      <c r="S53" s="3" t="b">
        <f t="shared" si="17"/>
        <v>1</v>
      </c>
      <c r="T53" s="3" t="str">
        <f t="shared" si="17"/>
        <v/>
      </c>
      <c r="U53" s="112" t="str">
        <f t="shared" si="17"/>
        <v>R - These skills are essential in teaching students to read. E- Reading foundation skills are an essential life skill. A- These skills are assessed on iStation. L- Reading is a skill that will be used in all subjects.</v>
      </c>
    </row>
    <row r="54">
      <c r="A54" s="42"/>
      <c r="B54" s="63" t="s">
        <v>25</v>
      </c>
      <c r="C54" s="31">
        <f t="shared" si="4"/>
        <v>4</v>
      </c>
      <c r="D54" s="3" t="str">
        <f t="shared" ref="D54:I54" si="18">if($C12&gt;$C$45,D12,"")</f>
        <v>RF.1.3</v>
      </c>
      <c r="E54" s="109" t="str">
        <f t="shared" si="18"/>
        <v>Know and apply grade-level phonics and word analysis skills in decoding words.</v>
      </c>
      <c r="F54" s="110" t="b">
        <f t="shared" si="18"/>
        <v>1</v>
      </c>
      <c r="G54" s="110" t="b">
        <f t="shared" si="18"/>
        <v>1</v>
      </c>
      <c r="H54" s="110" t="b">
        <f t="shared" si="18"/>
        <v>1</v>
      </c>
      <c r="I54" s="110" t="b">
        <f t="shared" si="18"/>
        <v>1</v>
      </c>
      <c r="J54" s="3"/>
      <c r="K54" s="109" t="str">
        <f t="shared" si="6"/>
        <v>R - These skills are essential in teaching students to read. E- Reading foundation skills are an essential life skill. A- These skills are assessed on iStation. L- Reading is a skill that will be used in all subjects.</v>
      </c>
      <c r="L54" s="111" t="b">
        <v>1</v>
      </c>
      <c r="M54" s="3">
        <f t="shared" ref="M54:U54" si="19">if($L54=TRUE,C54,"")</f>
        <v>4</v>
      </c>
      <c r="N54" s="3" t="str">
        <f t="shared" si="19"/>
        <v>RF.1.3</v>
      </c>
      <c r="O54" s="3" t="str">
        <f t="shared" si="19"/>
        <v>Know and apply grade-level phonics and word analysis skills in decoding words.</v>
      </c>
      <c r="P54" s="3" t="b">
        <f t="shared" si="19"/>
        <v>1</v>
      </c>
      <c r="Q54" s="3" t="b">
        <f t="shared" si="19"/>
        <v>1</v>
      </c>
      <c r="R54" s="3" t="b">
        <f t="shared" si="19"/>
        <v>1</v>
      </c>
      <c r="S54" s="3" t="b">
        <f t="shared" si="19"/>
        <v>1</v>
      </c>
      <c r="T54" s="3" t="str">
        <f t="shared" si="19"/>
        <v/>
      </c>
      <c r="U54" s="112" t="str">
        <f t="shared" si="19"/>
        <v>R - These skills are essential in teaching students to read. E- Reading foundation skills are an essential life skill. A- These skills are assessed on iStation. L- Reading is a skill that will be used in all subjects.</v>
      </c>
    </row>
    <row r="55">
      <c r="A55" s="42"/>
      <c r="B55" s="42"/>
      <c r="C55" s="31">
        <f t="shared" si="4"/>
        <v>4</v>
      </c>
      <c r="D55" s="3" t="str">
        <f t="shared" ref="D55:I55" si="20">if($C13&gt;$C$45,D13,"")</f>
        <v>RF.1.3a</v>
      </c>
      <c r="E55" s="109" t="str">
        <f t="shared" si="20"/>
        <v>Know the spelling-sound correspondences for common consonant digraphs.</v>
      </c>
      <c r="F55" s="110" t="b">
        <f t="shared" si="20"/>
        <v>1</v>
      </c>
      <c r="G55" s="110" t="b">
        <f t="shared" si="20"/>
        <v>1</v>
      </c>
      <c r="H55" s="110" t="b">
        <f t="shared" si="20"/>
        <v>1</v>
      </c>
      <c r="I55" s="110" t="b">
        <f t="shared" si="20"/>
        <v>1</v>
      </c>
      <c r="J55" s="3"/>
      <c r="K55" s="109" t="str">
        <f t="shared" si="6"/>
        <v>R - These skills are essential in teaching students to read. E- Reading foundation skills are an essential life skill. A- These skills are assessed on iStation. L- Reading is a skill that will be used in all subjects.</v>
      </c>
      <c r="L55" s="111" t="b">
        <v>1</v>
      </c>
      <c r="M55" s="3">
        <f t="shared" ref="M55:U55" si="21">if($L55=TRUE,C55,"")</f>
        <v>4</v>
      </c>
      <c r="N55" s="3" t="str">
        <f t="shared" si="21"/>
        <v>RF.1.3a</v>
      </c>
      <c r="O55" s="3" t="str">
        <f t="shared" si="21"/>
        <v>Know the spelling-sound correspondences for common consonant digraphs.</v>
      </c>
      <c r="P55" s="3" t="b">
        <f t="shared" si="21"/>
        <v>1</v>
      </c>
      <c r="Q55" s="3" t="b">
        <f t="shared" si="21"/>
        <v>1</v>
      </c>
      <c r="R55" s="3" t="b">
        <f t="shared" si="21"/>
        <v>1</v>
      </c>
      <c r="S55" s="3" t="b">
        <f t="shared" si="21"/>
        <v>1</v>
      </c>
      <c r="T55" s="3" t="str">
        <f t="shared" si="21"/>
        <v/>
      </c>
      <c r="U55" s="112" t="str">
        <f t="shared" si="21"/>
        <v>R - These skills are essential in teaching students to read. E- Reading foundation skills are an essential life skill. A- These skills are assessed on iStation. L- Reading is a skill that will be used in all subjects.</v>
      </c>
    </row>
    <row r="56">
      <c r="A56" s="42"/>
      <c r="B56" s="42"/>
      <c r="C56" s="31">
        <f t="shared" si="4"/>
        <v>4</v>
      </c>
      <c r="D56" s="3" t="str">
        <f t="shared" ref="D56:I56" si="22">if($C14&gt;$C$45,D14,"")</f>
        <v>RF.1.3b</v>
      </c>
      <c r="E56" s="109" t="str">
        <f t="shared" si="22"/>
        <v>Decode regularly spelled one-syllable words.</v>
      </c>
      <c r="F56" s="110" t="b">
        <f t="shared" si="22"/>
        <v>1</v>
      </c>
      <c r="G56" s="110" t="b">
        <f t="shared" si="22"/>
        <v>1</v>
      </c>
      <c r="H56" s="110" t="b">
        <f t="shared" si="22"/>
        <v>1</v>
      </c>
      <c r="I56" s="110" t="b">
        <f t="shared" si="22"/>
        <v>1</v>
      </c>
      <c r="J56" s="3"/>
      <c r="K56" s="109" t="str">
        <f t="shared" si="6"/>
        <v>R - These skills are essential in teaching students to read. E- Reading foundation skills are an essential life skill. A- These skills are assessed on iStation. L- Reading is a skill that will be used in all subjects.</v>
      </c>
      <c r="L56" s="111" t="b">
        <v>1</v>
      </c>
      <c r="M56" s="3">
        <f t="shared" ref="M56:U56" si="23">if($L56=TRUE,C56,"")</f>
        <v>4</v>
      </c>
      <c r="N56" s="3" t="str">
        <f t="shared" si="23"/>
        <v>RF.1.3b</v>
      </c>
      <c r="O56" s="3" t="str">
        <f t="shared" si="23"/>
        <v>Decode regularly spelled one-syllable words.</v>
      </c>
      <c r="P56" s="3" t="b">
        <f t="shared" si="23"/>
        <v>1</v>
      </c>
      <c r="Q56" s="3" t="b">
        <f t="shared" si="23"/>
        <v>1</v>
      </c>
      <c r="R56" s="3" t="b">
        <f t="shared" si="23"/>
        <v>1</v>
      </c>
      <c r="S56" s="3" t="b">
        <f t="shared" si="23"/>
        <v>1</v>
      </c>
      <c r="T56" s="3" t="str">
        <f t="shared" si="23"/>
        <v/>
      </c>
      <c r="U56" s="112" t="str">
        <f t="shared" si="23"/>
        <v>R - These skills are essential in teaching students to read. E- Reading foundation skills are an essential life skill. A- These skills are assessed on iStation. L- Reading is a skill that will be used in all subjects.</v>
      </c>
    </row>
    <row r="57">
      <c r="A57" s="42"/>
      <c r="B57" s="42"/>
      <c r="C57" s="31">
        <f t="shared" si="4"/>
        <v>4</v>
      </c>
      <c r="D57" s="3" t="str">
        <f t="shared" ref="D57:I57" si="24">if($C15&gt;$C$45,D15,"")</f>
        <v>RF.1.3c</v>
      </c>
      <c r="E57" s="109" t="str">
        <f t="shared" si="24"/>
        <v>Know final -e and common vowel team conventions for representing long vowel sounds.</v>
      </c>
      <c r="F57" s="110" t="b">
        <f t="shared" si="24"/>
        <v>1</v>
      </c>
      <c r="G57" s="110" t="b">
        <f t="shared" si="24"/>
        <v>1</v>
      </c>
      <c r="H57" s="110" t="b">
        <f t="shared" si="24"/>
        <v>1</v>
      </c>
      <c r="I57" s="110" t="b">
        <f t="shared" si="24"/>
        <v>1</v>
      </c>
      <c r="J57" s="3"/>
      <c r="K57" s="109" t="str">
        <f t="shared" si="6"/>
        <v>R - These skills are essential in teaching students to read. E- Reading foundation skills are an essential life skill. A- These skills are assessed on iStation. L- Reading is a skill that will be used in all subjects.</v>
      </c>
      <c r="L57" s="111" t="b">
        <v>1</v>
      </c>
      <c r="M57" s="3">
        <f t="shared" ref="M57:U57" si="25">if($L57=TRUE,C57,"")</f>
        <v>4</v>
      </c>
      <c r="N57" s="3" t="str">
        <f t="shared" si="25"/>
        <v>RF.1.3c</v>
      </c>
      <c r="O57" s="3" t="str">
        <f t="shared" si="25"/>
        <v>Know final -e and common vowel team conventions for representing long vowel sounds.</v>
      </c>
      <c r="P57" s="3" t="b">
        <f t="shared" si="25"/>
        <v>1</v>
      </c>
      <c r="Q57" s="3" t="b">
        <f t="shared" si="25"/>
        <v>1</v>
      </c>
      <c r="R57" s="3" t="b">
        <f t="shared" si="25"/>
        <v>1</v>
      </c>
      <c r="S57" s="3" t="b">
        <f t="shared" si="25"/>
        <v>1</v>
      </c>
      <c r="T57" s="3" t="str">
        <f t="shared" si="25"/>
        <v/>
      </c>
      <c r="U57" s="112" t="str">
        <f t="shared" si="25"/>
        <v>R - These skills are essential in teaching students to read. E- Reading foundation skills are an essential life skill. A- These skills are assessed on iStation. L- Reading is a skill that will be used in all subjects.</v>
      </c>
    </row>
    <row r="58">
      <c r="A58" s="42"/>
      <c r="B58" s="42"/>
      <c r="C58" s="31">
        <f t="shared" si="4"/>
        <v>4</v>
      </c>
      <c r="D58" s="3" t="str">
        <f t="shared" ref="D58:I58" si="26">if($C16&gt;$C$45,D16,"")</f>
        <v>RF.1.3d</v>
      </c>
      <c r="E58" s="109" t="str">
        <f t="shared" si="26"/>
        <v>Use knowledge that every syllable must have a vowel sound to determine the number of syllables in a printed word.</v>
      </c>
      <c r="F58" s="110" t="b">
        <f t="shared" si="26"/>
        <v>1</v>
      </c>
      <c r="G58" s="110" t="b">
        <f t="shared" si="26"/>
        <v>1</v>
      </c>
      <c r="H58" s="110" t="b">
        <f t="shared" si="26"/>
        <v>1</v>
      </c>
      <c r="I58" s="110" t="b">
        <f t="shared" si="26"/>
        <v>1</v>
      </c>
      <c r="J58" s="3"/>
      <c r="K58" s="109" t="str">
        <f t="shared" si="6"/>
        <v>R - These skills are essential in teaching students to read. E- Reading foundation skills are an essential life skill. A- These skills are assessed on iStation. L- Reading is a skill that will be used in all subjects.</v>
      </c>
      <c r="L58" s="111" t="b">
        <v>1</v>
      </c>
      <c r="M58" s="3">
        <f t="shared" ref="M58:U58" si="27">if($L58=TRUE,C58,"")</f>
        <v>4</v>
      </c>
      <c r="N58" s="3" t="str">
        <f t="shared" si="27"/>
        <v>RF.1.3d</v>
      </c>
      <c r="O58" s="3" t="str">
        <f t="shared" si="27"/>
        <v>Use knowledge that every syllable must have a vowel sound to determine the number of syllables in a printed word.</v>
      </c>
      <c r="P58" s="3" t="b">
        <f t="shared" si="27"/>
        <v>1</v>
      </c>
      <c r="Q58" s="3" t="b">
        <f t="shared" si="27"/>
        <v>1</v>
      </c>
      <c r="R58" s="3" t="b">
        <f t="shared" si="27"/>
        <v>1</v>
      </c>
      <c r="S58" s="3" t="b">
        <f t="shared" si="27"/>
        <v>1</v>
      </c>
      <c r="T58" s="3" t="str">
        <f t="shared" si="27"/>
        <v/>
      </c>
      <c r="U58" s="112" t="str">
        <f t="shared" si="27"/>
        <v>R - These skills are essential in teaching students to read. E- Reading foundation skills are an essential life skill. A- These skills are assessed on iStation. L- Reading is a skill that will be used in all subjects.</v>
      </c>
    </row>
    <row r="59">
      <c r="A59" s="42"/>
      <c r="B59" s="42"/>
      <c r="C59" s="31">
        <f t="shared" si="4"/>
        <v>4</v>
      </c>
      <c r="D59" s="3" t="str">
        <f t="shared" ref="D59:I59" si="28">if($C17&gt;$C$45,D17,"")</f>
        <v>RF.1.3e</v>
      </c>
      <c r="E59" s="109" t="str">
        <f t="shared" si="28"/>
        <v>Decode two-syllable words following basic patterns by breaking the words into syllables.</v>
      </c>
      <c r="F59" s="110" t="b">
        <f t="shared" si="28"/>
        <v>1</v>
      </c>
      <c r="G59" s="110" t="b">
        <f t="shared" si="28"/>
        <v>1</v>
      </c>
      <c r="H59" s="110" t="b">
        <f t="shared" si="28"/>
        <v>1</v>
      </c>
      <c r="I59" s="110" t="b">
        <f t="shared" si="28"/>
        <v>1</v>
      </c>
      <c r="J59" s="3"/>
      <c r="K59" s="109" t="str">
        <f t="shared" si="6"/>
        <v>R - These skills are essential in teaching students to read. E- Reading foundation skills are an essential life skill. A- These skills are assessed on iStation. L- Reading is a skill that will be used in all subjects.</v>
      </c>
      <c r="L59" s="111" t="b">
        <v>1</v>
      </c>
      <c r="M59" s="3">
        <f t="shared" ref="M59:U59" si="29">if($L59=TRUE,C59,"")</f>
        <v>4</v>
      </c>
      <c r="N59" s="3" t="str">
        <f t="shared" si="29"/>
        <v>RF.1.3e</v>
      </c>
      <c r="O59" s="3" t="str">
        <f t="shared" si="29"/>
        <v>Decode two-syllable words following basic patterns by breaking the words into syllables.</v>
      </c>
      <c r="P59" s="3" t="b">
        <f t="shared" si="29"/>
        <v>1</v>
      </c>
      <c r="Q59" s="3" t="b">
        <f t="shared" si="29"/>
        <v>1</v>
      </c>
      <c r="R59" s="3" t="b">
        <f t="shared" si="29"/>
        <v>1</v>
      </c>
      <c r="S59" s="3" t="b">
        <f t="shared" si="29"/>
        <v>1</v>
      </c>
      <c r="T59" s="3" t="str">
        <f t="shared" si="29"/>
        <v/>
      </c>
      <c r="U59" s="112" t="str">
        <f t="shared" si="29"/>
        <v>R - These skills are essential in teaching students to read. E- Reading foundation skills are an essential life skill. A- These skills are assessed on iStation. L- Reading is a skill that will be used in all subjects.</v>
      </c>
    </row>
    <row r="60">
      <c r="A60" s="42"/>
      <c r="B60" s="42"/>
      <c r="C60" s="31">
        <f t="shared" si="4"/>
        <v>4</v>
      </c>
      <c r="D60" s="3" t="str">
        <f t="shared" ref="D60:I60" si="30">if($C18&gt;$C$45,D18,"")</f>
        <v>RF.1.3f</v>
      </c>
      <c r="E60" s="109" t="str">
        <f t="shared" si="30"/>
        <v>Read words with inflectional endings.</v>
      </c>
      <c r="F60" s="110" t="b">
        <f t="shared" si="30"/>
        <v>1</v>
      </c>
      <c r="G60" s="110" t="b">
        <f t="shared" si="30"/>
        <v>1</v>
      </c>
      <c r="H60" s="110" t="b">
        <f t="shared" si="30"/>
        <v>1</v>
      </c>
      <c r="I60" s="110" t="b">
        <f t="shared" si="30"/>
        <v>1</v>
      </c>
      <c r="J60" s="3"/>
      <c r="K60" s="109" t="str">
        <f t="shared" si="6"/>
        <v>R - These skills are essential in teaching students to read. E- Reading foundation skills are an essential life skill. A- These skills are assessed on iStation. L- Reading is a skill that will be used in all subjects.</v>
      </c>
      <c r="L60" s="111" t="b">
        <v>1</v>
      </c>
      <c r="M60" s="3">
        <f t="shared" ref="M60:U60" si="31">if($L60=TRUE,C60,"")</f>
        <v>4</v>
      </c>
      <c r="N60" s="3" t="str">
        <f t="shared" si="31"/>
        <v>RF.1.3f</v>
      </c>
      <c r="O60" s="3" t="str">
        <f t="shared" si="31"/>
        <v>Read words with inflectional endings.</v>
      </c>
      <c r="P60" s="3" t="b">
        <f t="shared" si="31"/>
        <v>1</v>
      </c>
      <c r="Q60" s="3" t="b">
        <f t="shared" si="31"/>
        <v>1</v>
      </c>
      <c r="R60" s="3" t="b">
        <f t="shared" si="31"/>
        <v>1</v>
      </c>
      <c r="S60" s="3" t="b">
        <f t="shared" si="31"/>
        <v>1</v>
      </c>
      <c r="T60" s="3" t="str">
        <f t="shared" si="31"/>
        <v/>
      </c>
      <c r="U60" s="112" t="str">
        <f t="shared" si="31"/>
        <v>R - These skills are essential in teaching students to read. E- Reading foundation skills are an essential life skill. A- These skills are assessed on iStation. L- Reading is a skill that will be used in all subjects.</v>
      </c>
    </row>
    <row r="61">
      <c r="A61" s="42"/>
      <c r="B61" s="49"/>
      <c r="C61" s="50">
        <f t="shared" si="4"/>
        <v>4</v>
      </c>
      <c r="D61" s="3" t="str">
        <f t="shared" ref="D61:I61" si="32">if($C19&gt;$C$45,D19,"")</f>
        <v>RF.1.3g</v>
      </c>
      <c r="E61" s="109" t="str">
        <f t="shared" si="32"/>
        <v>Recognize and read gradeappropriate irregularly spelled words</v>
      </c>
      <c r="F61" s="110" t="b">
        <f t="shared" si="32"/>
        <v>1</v>
      </c>
      <c r="G61" s="110" t="b">
        <f t="shared" si="32"/>
        <v>1</v>
      </c>
      <c r="H61" s="110" t="b">
        <f t="shared" si="32"/>
        <v>1</v>
      </c>
      <c r="I61" s="110" t="b">
        <f t="shared" si="32"/>
        <v>1</v>
      </c>
      <c r="J61" s="3"/>
      <c r="K61" s="109" t="str">
        <f t="shared" si="6"/>
        <v>R - These skills are essential in teaching students to read. E- Reading foundation skills are an essential life skill. A- These skills are assessed on iStation. L- Reading is a skill that will be used in all subjects.</v>
      </c>
      <c r="L61" s="111" t="b">
        <v>1</v>
      </c>
      <c r="M61" s="3">
        <f t="shared" ref="M61:U61" si="33">if($L61=TRUE,C61,"")</f>
        <v>4</v>
      </c>
      <c r="N61" s="3" t="str">
        <f t="shared" si="33"/>
        <v>RF.1.3g</v>
      </c>
      <c r="O61" s="3" t="str">
        <f t="shared" si="33"/>
        <v>Recognize and read gradeappropriate irregularly spelled words</v>
      </c>
      <c r="P61" s="3" t="b">
        <f t="shared" si="33"/>
        <v>1</v>
      </c>
      <c r="Q61" s="3" t="b">
        <f t="shared" si="33"/>
        <v>1</v>
      </c>
      <c r="R61" s="3" t="b">
        <f t="shared" si="33"/>
        <v>1</v>
      </c>
      <c r="S61" s="3" t="b">
        <f t="shared" si="33"/>
        <v>1</v>
      </c>
      <c r="T61" s="3" t="str">
        <f t="shared" si="33"/>
        <v/>
      </c>
      <c r="U61" s="112" t="str">
        <f t="shared" si="33"/>
        <v>R - These skills are essential in teaching students to read. E- Reading foundation skills are an essential life skill. A- These skills are assessed on iStation. L- Reading is a skill that will be used in all subjects.</v>
      </c>
    </row>
    <row r="62">
      <c r="A62" s="42"/>
      <c r="B62" s="69" t="s">
        <v>25</v>
      </c>
      <c r="C62" s="31">
        <f t="shared" si="4"/>
        <v>4</v>
      </c>
      <c r="D62" s="3" t="str">
        <f t="shared" ref="D62:I62" si="34">if($C20&gt;$C$45,D20,"")</f>
        <v>RF.1.4</v>
      </c>
      <c r="E62" s="109" t="str">
        <f t="shared" si="34"/>
        <v>Read with sufficient accuracy and fluency to support comprehension.</v>
      </c>
      <c r="F62" s="110" t="b">
        <f t="shared" si="34"/>
        <v>1</v>
      </c>
      <c r="G62" s="110" t="b">
        <f t="shared" si="34"/>
        <v>1</v>
      </c>
      <c r="H62" s="110" t="b">
        <f t="shared" si="34"/>
        <v>1</v>
      </c>
      <c r="I62" s="110" t="b">
        <f t="shared" si="34"/>
        <v>1</v>
      </c>
      <c r="J62" s="3"/>
      <c r="K62" s="109" t="str">
        <f t="shared" si="6"/>
        <v>R - These skills are essential in teaching students to read. E- Reading foundation skills are an essential life skill. A- These skills are assessed on iStation. L- Reading is a skill that will be used in all subjects.</v>
      </c>
      <c r="L62" s="111" t="b">
        <v>1</v>
      </c>
      <c r="M62" s="3">
        <f t="shared" ref="M62:U62" si="35">if($L62=TRUE,C62,"")</f>
        <v>4</v>
      </c>
      <c r="N62" s="3" t="str">
        <f t="shared" si="35"/>
        <v>RF.1.4</v>
      </c>
      <c r="O62" s="3" t="str">
        <f t="shared" si="35"/>
        <v>Read with sufficient accuracy and fluency to support comprehension.</v>
      </c>
      <c r="P62" s="3" t="b">
        <f t="shared" si="35"/>
        <v>1</v>
      </c>
      <c r="Q62" s="3" t="b">
        <f t="shared" si="35"/>
        <v>1</v>
      </c>
      <c r="R62" s="3" t="b">
        <f t="shared" si="35"/>
        <v>1</v>
      </c>
      <c r="S62" s="3" t="b">
        <f t="shared" si="35"/>
        <v>1</v>
      </c>
      <c r="T62" s="3" t="str">
        <f t="shared" si="35"/>
        <v/>
      </c>
      <c r="U62" s="112" t="str">
        <f t="shared" si="35"/>
        <v>R - These skills are essential in teaching students to read. E- Reading foundation skills are an essential life skill. A- These skills are assessed on iStation. L- Reading is a skill that will be used in all subjects.</v>
      </c>
    </row>
    <row r="63">
      <c r="A63" s="42"/>
      <c r="B63" s="42"/>
      <c r="C63" s="31">
        <f t="shared" si="4"/>
        <v>4</v>
      </c>
      <c r="D63" s="3" t="str">
        <f t="shared" ref="D63:I63" si="36">if($C21&gt;$C$45,D21,"")</f>
        <v>RF.1.4a</v>
      </c>
      <c r="E63" s="109" t="str">
        <f t="shared" si="36"/>
        <v>Read grade-level text with purpose and understanding.</v>
      </c>
      <c r="F63" s="110" t="b">
        <f t="shared" si="36"/>
        <v>1</v>
      </c>
      <c r="G63" s="110" t="b">
        <f t="shared" si="36"/>
        <v>1</v>
      </c>
      <c r="H63" s="110" t="b">
        <f t="shared" si="36"/>
        <v>1</v>
      </c>
      <c r="I63" s="110" t="b">
        <f t="shared" si="36"/>
        <v>1</v>
      </c>
      <c r="J63" s="3"/>
      <c r="K63" s="109" t="str">
        <f t="shared" si="6"/>
        <v>R - These skills are essential in teaching students to read. E- Reading foundation skills are an essential life skill. A- These skills are assessed on iStation. L- Reading is a skill that will be used in all subjects.</v>
      </c>
      <c r="L63" s="111" t="b">
        <v>1</v>
      </c>
      <c r="M63" s="3">
        <f t="shared" ref="M63:U63" si="37">if($L63=TRUE,C63,"")</f>
        <v>4</v>
      </c>
      <c r="N63" s="3" t="str">
        <f t="shared" si="37"/>
        <v>RF.1.4a</v>
      </c>
      <c r="O63" s="3" t="str">
        <f t="shared" si="37"/>
        <v>Read grade-level text with purpose and understanding.</v>
      </c>
      <c r="P63" s="3" t="b">
        <f t="shared" si="37"/>
        <v>1</v>
      </c>
      <c r="Q63" s="3" t="b">
        <f t="shared" si="37"/>
        <v>1</v>
      </c>
      <c r="R63" s="3" t="b">
        <f t="shared" si="37"/>
        <v>1</v>
      </c>
      <c r="S63" s="3" t="b">
        <f t="shared" si="37"/>
        <v>1</v>
      </c>
      <c r="T63" s="3" t="str">
        <f t="shared" si="37"/>
        <v/>
      </c>
      <c r="U63" s="112" t="str">
        <f t="shared" si="37"/>
        <v>R - These skills are essential in teaching students to read. E- Reading foundation skills are an essential life skill. A- These skills are assessed on iStation. L- Reading is a skill that will be used in all subjects.</v>
      </c>
    </row>
    <row r="64">
      <c r="A64" s="42"/>
      <c r="B64" s="42"/>
      <c r="C64" s="31">
        <f t="shared" si="4"/>
        <v>4</v>
      </c>
      <c r="D64" s="3" t="str">
        <f t="shared" ref="D64:I64" si="38">if($C22&gt;$C$45,D22,"")</f>
        <v>RF.1.4b</v>
      </c>
      <c r="E64" s="109" t="str">
        <f t="shared" si="38"/>
        <v>Read grade-level text orally with accuracy, appropriate rate, and expression on successive readings.</v>
      </c>
      <c r="F64" s="110" t="b">
        <f t="shared" si="38"/>
        <v>1</v>
      </c>
      <c r="G64" s="110" t="b">
        <f t="shared" si="38"/>
        <v>1</v>
      </c>
      <c r="H64" s="110" t="b">
        <f t="shared" si="38"/>
        <v>1</v>
      </c>
      <c r="I64" s="110" t="b">
        <f t="shared" si="38"/>
        <v>1</v>
      </c>
      <c r="J64" s="3"/>
      <c r="K64" s="109" t="str">
        <f t="shared" si="6"/>
        <v>R - These skills are essential in teaching students to read. E- Reading foundation skills are an essential life skill. A- These skills are assessed on iStation. L- Reading is a skill that will be used in all subjects.</v>
      </c>
      <c r="L64" s="111" t="b">
        <v>1</v>
      </c>
      <c r="M64" s="3">
        <f t="shared" ref="M64:U64" si="39">if($L64=TRUE,C64,"")</f>
        <v>4</v>
      </c>
      <c r="N64" s="3" t="str">
        <f t="shared" si="39"/>
        <v>RF.1.4b</v>
      </c>
      <c r="O64" s="3" t="str">
        <f t="shared" si="39"/>
        <v>Read grade-level text orally with accuracy, appropriate rate, and expression on successive readings.</v>
      </c>
      <c r="P64" s="3" t="b">
        <f t="shared" si="39"/>
        <v>1</v>
      </c>
      <c r="Q64" s="3" t="b">
        <f t="shared" si="39"/>
        <v>1</v>
      </c>
      <c r="R64" s="3" t="b">
        <f t="shared" si="39"/>
        <v>1</v>
      </c>
      <c r="S64" s="3" t="b">
        <f t="shared" si="39"/>
        <v>1</v>
      </c>
      <c r="T64" s="3" t="str">
        <f t="shared" si="39"/>
        <v/>
      </c>
      <c r="U64" s="112" t="str">
        <f t="shared" si="39"/>
        <v>R - These skills are essential in teaching students to read. E- Reading foundation skills are an essential life skill. A- These skills are assessed on iStation. L- Reading is a skill that will be used in all subjects.</v>
      </c>
    </row>
    <row r="65">
      <c r="A65" s="49"/>
      <c r="B65" s="49"/>
      <c r="C65" s="50">
        <f t="shared" si="4"/>
        <v>4</v>
      </c>
      <c r="D65" s="3" t="str">
        <f t="shared" ref="D65:I65" si="40">if($C23&gt;$C$45,D23,"")</f>
        <v>RF.1.4c</v>
      </c>
      <c r="E65" s="109" t="str">
        <f t="shared" si="40"/>
        <v>Use context to confirm or self-correct word recognition and understanding, rereading as necessary.</v>
      </c>
      <c r="F65" s="110" t="b">
        <f t="shared" si="40"/>
        <v>1</v>
      </c>
      <c r="G65" s="110" t="b">
        <f t="shared" si="40"/>
        <v>1</v>
      </c>
      <c r="H65" s="110" t="b">
        <f t="shared" si="40"/>
        <v>1</v>
      </c>
      <c r="I65" s="110" t="b">
        <f t="shared" si="40"/>
        <v>1</v>
      </c>
      <c r="J65" s="3"/>
      <c r="K65" s="109" t="str">
        <f t="shared" si="6"/>
        <v>R - These skills are essential in teaching students to read. E- Reading foundation skills are an essential life skill. A- These skills are assessed on iStation. L- Reading is a skill that will be used in all subjects.</v>
      </c>
      <c r="L65" s="111" t="b">
        <v>1</v>
      </c>
      <c r="M65" s="3">
        <f t="shared" ref="M65:U65" si="41">if($L65=TRUE,C65,"")</f>
        <v>4</v>
      </c>
      <c r="N65" s="3" t="str">
        <f t="shared" si="41"/>
        <v>RF.1.4c</v>
      </c>
      <c r="O65" s="3" t="str">
        <f t="shared" si="41"/>
        <v>Use context to confirm or self-correct word recognition and understanding, rereading as necessary.</v>
      </c>
      <c r="P65" s="3" t="b">
        <f t="shared" si="41"/>
        <v>1</v>
      </c>
      <c r="Q65" s="3" t="b">
        <f t="shared" si="41"/>
        <v>1</v>
      </c>
      <c r="R65" s="3" t="b">
        <f t="shared" si="41"/>
        <v>1</v>
      </c>
      <c r="S65" s="3" t="b">
        <f t="shared" si="41"/>
        <v>1</v>
      </c>
      <c r="T65" s="3" t="str">
        <f t="shared" si="41"/>
        <v/>
      </c>
      <c r="U65" s="112" t="str">
        <f t="shared" si="41"/>
        <v>R - These skills are essential in teaching students to read. E- Reading foundation skills are an essential life skill. A- These skills are assessed on iStation. L- Reading is a skill that will be used in all subjects.</v>
      </c>
    </row>
    <row r="66">
      <c r="A66" s="65" t="s">
        <v>102</v>
      </c>
      <c r="B66" s="67" t="s">
        <v>107</v>
      </c>
      <c r="C66" s="31">
        <f t="shared" si="4"/>
        <v>0</v>
      </c>
      <c r="D66" s="3" t="str">
        <f t="shared" ref="D66:I66" si="42">if($C24&gt;$C$45,D24,"")</f>
        <v/>
      </c>
      <c r="E66" s="109" t="str">
        <f t="shared" si="42"/>
        <v/>
      </c>
      <c r="F66" s="110" t="str">
        <f t="shared" si="42"/>
        <v/>
      </c>
      <c r="G66" s="110" t="str">
        <f t="shared" si="42"/>
        <v/>
      </c>
      <c r="H66" s="110" t="str">
        <f t="shared" si="42"/>
        <v/>
      </c>
      <c r="I66" s="110" t="str">
        <f t="shared" si="42"/>
        <v/>
      </c>
      <c r="J66" s="3"/>
      <c r="K66" s="109" t="str">
        <f t="shared" si="6"/>
        <v/>
      </c>
      <c r="L66" s="111" t="b">
        <v>0</v>
      </c>
      <c r="M66" s="3" t="str">
        <f t="shared" ref="M66:U66" si="43">if($L66=TRUE,C66,"")</f>
        <v/>
      </c>
      <c r="N66" s="3" t="str">
        <f t="shared" si="43"/>
        <v/>
      </c>
      <c r="O66" s="3" t="str">
        <f t="shared" si="43"/>
        <v/>
      </c>
      <c r="P66" s="3" t="str">
        <f t="shared" si="43"/>
        <v/>
      </c>
      <c r="Q66" s="3" t="str">
        <f t="shared" si="43"/>
        <v/>
      </c>
      <c r="R66" s="3" t="str">
        <f t="shared" si="43"/>
        <v/>
      </c>
      <c r="S66" s="3" t="str">
        <f t="shared" si="43"/>
        <v/>
      </c>
      <c r="T66" s="3" t="str">
        <f t="shared" si="43"/>
        <v/>
      </c>
      <c r="U66" s="112" t="str">
        <f t="shared" si="43"/>
        <v/>
      </c>
    </row>
    <row r="67">
      <c r="A67" s="42"/>
      <c r="B67" s="42"/>
      <c r="C67" s="31">
        <f t="shared" si="4"/>
        <v>4</v>
      </c>
      <c r="D67" s="3" t="str">
        <f t="shared" ref="D67:I67" si="44">if($C25&gt;$C$45,D25,"")</f>
        <v>RL.1.2</v>
      </c>
      <c r="E67" s="109" t="str">
        <f t="shared" si="44"/>
        <v>Retell stories, including key details, and demonstrate understanding of their central message or lesson.</v>
      </c>
      <c r="F67" s="110" t="b">
        <f t="shared" si="44"/>
        <v>1</v>
      </c>
      <c r="G67" s="110" t="b">
        <f t="shared" si="44"/>
        <v>1</v>
      </c>
      <c r="H67" s="110" t="b">
        <f t="shared" si="44"/>
        <v>1</v>
      </c>
      <c r="I67" s="110" t="b">
        <f t="shared" si="44"/>
        <v>1</v>
      </c>
      <c r="J67" s="3"/>
      <c r="K67" s="109" t="str">
        <f t="shared" si="6"/>
        <v>Foundational for reading comprehension, assessed on Istation
RL.1.1 &amp;  RL.1.3 will be learning targets</v>
      </c>
      <c r="L67" s="111" t="b">
        <v>1</v>
      </c>
      <c r="M67" s="3">
        <f t="shared" ref="M67:U67" si="45">if($L67=TRUE,C67,"")</f>
        <v>4</v>
      </c>
      <c r="N67" s="3" t="str">
        <f t="shared" si="45"/>
        <v>RL.1.2</v>
      </c>
      <c r="O67" s="3" t="str">
        <f t="shared" si="45"/>
        <v>Retell stories, including key details, and demonstrate understanding of their central message or lesson.</v>
      </c>
      <c r="P67" s="3" t="b">
        <f t="shared" si="45"/>
        <v>1</v>
      </c>
      <c r="Q67" s="3" t="b">
        <f t="shared" si="45"/>
        <v>1</v>
      </c>
      <c r="R67" s="3" t="b">
        <f t="shared" si="45"/>
        <v>1</v>
      </c>
      <c r="S67" s="3" t="b">
        <f t="shared" si="45"/>
        <v>1</v>
      </c>
      <c r="T67" s="3" t="str">
        <f t="shared" si="45"/>
        <v/>
      </c>
      <c r="U67" s="112" t="str">
        <f t="shared" si="45"/>
        <v>Foundational for reading comprehension, assessed on Istation
RL.1.1 &amp;  RL.1.3 will be learning targets</v>
      </c>
    </row>
    <row r="68">
      <c r="A68" s="42"/>
      <c r="B68" s="49"/>
      <c r="C68" s="50">
        <f t="shared" si="4"/>
        <v>0</v>
      </c>
      <c r="D68" s="3" t="str">
        <f t="shared" ref="D68:I68" si="46">if($C26&gt;$C$45,D26,"")</f>
        <v/>
      </c>
      <c r="E68" s="109" t="str">
        <f t="shared" si="46"/>
        <v/>
      </c>
      <c r="F68" s="110" t="str">
        <f t="shared" si="46"/>
        <v/>
      </c>
      <c r="G68" s="110" t="str">
        <f t="shared" si="46"/>
        <v/>
      </c>
      <c r="H68" s="110" t="str">
        <f t="shared" si="46"/>
        <v/>
      </c>
      <c r="I68" s="110" t="str">
        <f t="shared" si="46"/>
        <v/>
      </c>
      <c r="J68" s="3"/>
      <c r="K68" s="109" t="str">
        <f t="shared" si="6"/>
        <v/>
      </c>
      <c r="L68" s="111" t="b">
        <v>0</v>
      </c>
      <c r="M68" s="3" t="str">
        <f t="shared" ref="M68:U68" si="47">if($L68=TRUE,C68,"")</f>
        <v/>
      </c>
      <c r="N68" s="3" t="str">
        <f t="shared" si="47"/>
        <v/>
      </c>
      <c r="O68" s="3" t="str">
        <f t="shared" si="47"/>
        <v/>
      </c>
      <c r="P68" s="3" t="str">
        <f t="shared" si="47"/>
        <v/>
      </c>
      <c r="Q68" s="3" t="str">
        <f t="shared" si="47"/>
        <v/>
      </c>
      <c r="R68" s="3" t="str">
        <f t="shared" si="47"/>
        <v/>
      </c>
      <c r="S68" s="3" t="str">
        <f t="shared" si="47"/>
        <v/>
      </c>
      <c r="T68" s="3" t="str">
        <f t="shared" si="47"/>
        <v/>
      </c>
      <c r="U68" s="112" t="str">
        <f t="shared" si="47"/>
        <v/>
      </c>
    </row>
    <row r="69">
      <c r="A69" s="42"/>
      <c r="B69" s="71" t="s">
        <v>123</v>
      </c>
      <c r="C69" s="31">
        <f t="shared" si="4"/>
        <v>0</v>
      </c>
      <c r="D69" s="3" t="str">
        <f t="shared" ref="D69:I69" si="48">if($C27&gt;$C$45,D27,"")</f>
        <v/>
      </c>
      <c r="E69" s="109" t="str">
        <f t="shared" si="48"/>
        <v/>
      </c>
      <c r="F69" s="110" t="str">
        <f t="shared" si="48"/>
        <v/>
      </c>
      <c r="G69" s="110" t="str">
        <f t="shared" si="48"/>
        <v/>
      </c>
      <c r="H69" s="110" t="str">
        <f t="shared" si="48"/>
        <v/>
      </c>
      <c r="I69" s="110" t="str">
        <f t="shared" si="48"/>
        <v/>
      </c>
      <c r="J69" s="3"/>
      <c r="K69" s="109" t="str">
        <f t="shared" si="6"/>
        <v/>
      </c>
      <c r="L69" s="113" t="b">
        <v>0</v>
      </c>
      <c r="M69" s="3" t="str">
        <f t="shared" ref="M69:U69" si="49">if($L69=TRUE,C69,"")</f>
        <v/>
      </c>
      <c r="N69" s="3" t="str">
        <f t="shared" si="49"/>
        <v/>
      </c>
      <c r="O69" s="3" t="str">
        <f t="shared" si="49"/>
        <v/>
      </c>
      <c r="P69" s="3" t="str">
        <f t="shared" si="49"/>
        <v/>
      </c>
      <c r="Q69" s="3" t="str">
        <f t="shared" si="49"/>
        <v/>
      </c>
      <c r="R69" s="3" t="str">
        <f t="shared" si="49"/>
        <v/>
      </c>
      <c r="S69" s="3" t="str">
        <f t="shared" si="49"/>
        <v/>
      </c>
      <c r="T69" s="3" t="str">
        <f t="shared" si="49"/>
        <v/>
      </c>
      <c r="U69" s="112" t="str">
        <f t="shared" si="49"/>
        <v/>
      </c>
    </row>
    <row r="70">
      <c r="A70" s="42"/>
      <c r="B70" s="42"/>
      <c r="C70" s="31">
        <f t="shared" si="4"/>
        <v>4</v>
      </c>
      <c r="D70" s="3" t="str">
        <f t="shared" ref="D70:I70" si="50">if($C28&gt;$C$45,D28,"")</f>
        <v>RL.1.5</v>
      </c>
      <c r="E70" s="109" t="str">
        <f t="shared" si="50"/>
        <v>Explain major differences between books that tell stories and books that give information, drawing on a wide reading of a range of text types.</v>
      </c>
      <c r="F70" s="110" t="b">
        <f t="shared" si="50"/>
        <v>1</v>
      </c>
      <c r="G70" s="110" t="b">
        <f t="shared" si="50"/>
        <v>1</v>
      </c>
      <c r="H70" s="110" t="b">
        <f t="shared" si="50"/>
        <v>1</v>
      </c>
      <c r="I70" s="110" t="b">
        <f t="shared" si="50"/>
        <v>1</v>
      </c>
      <c r="J70" s="3"/>
      <c r="K70" s="109" t="str">
        <f t="shared" si="6"/>
        <v>Essential for students to understand the difference between fiction and nonfiction</v>
      </c>
      <c r="L70" s="111" t="b">
        <v>1</v>
      </c>
      <c r="M70" s="3">
        <f t="shared" ref="M70:U70" si="51">if($L70=TRUE,C70,"")</f>
        <v>4</v>
      </c>
      <c r="N70" s="3" t="str">
        <f t="shared" si="51"/>
        <v>RL.1.5</v>
      </c>
      <c r="O70" s="3" t="str">
        <f t="shared" si="51"/>
        <v>Explain major differences between books that tell stories and books that give information, drawing on a wide reading of a range of text types.</v>
      </c>
      <c r="P70" s="3" t="b">
        <f t="shared" si="51"/>
        <v>1</v>
      </c>
      <c r="Q70" s="3" t="b">
        <f t="shared" si="51"/>
        <v>1</v>
      </c>
      <c r="R70" s="3" t="b">
        <f t="shared" si="51"/>
        <v>1</v>
      </c>
      <c r="S70" s="3" t="b">
        <f t="shared" si="51"/>
        <v>1</v>
      </c>
      <c r="T70" s="3" t="str">
        <f t="shared" si="51"/>
        <v/>
      </c>
      <c r="U70" s="112" t="str">
        <f t="shared" si="51"/>
        <v>Essential for students to understand the difference between fiction and nonfiction</v>
      </c>
    </row>
    <row r="71">
      <c r="A71" s="42"/>
      <c r="B71" s="49"/>
      <c r="C71" s="50">
        <f t="shared" si="4"/>
        <v>0</v>
      </c>
      <c r="D71" s="3" t="str">
        <f t="shared" ref="D71:I71" si="52">if($C29&gt;$C$45,D29,"")</f>
        <v/>
      </c>
      <c r="E71" s="109" t="str">
        <f t="shared" si="52"/>
        <v/>
      </c>
      <c r="F71" s="110" t="str">
        <f t="shared" si="52"/>
        <v/>
      </c>
      <c r="G71" s="110" t="str">
        <f t="shared" si="52"/>
        <v/>
      </c>
      <c r="H71" s="110" t="str">
        <f t="shared" si="52"/>
        <v/>
      </c>
      <c r="I71" s="110" t="str">
        <f t="shared" si="52"/>
        <v/>
      </c>
      <c r="J71" s="3"/>
      <c r="K71" s="109" t="str">
        <f t="shared" si="6"/>
        <v/>
      </c>
      <c r="L71" s="111" t="b">
        <v>0</v>
      </c>
      <c r="M71" s="3" t="str">
        <f t="shared" ref="M71:U71" si="53">if($L71=TRUE,C71,"")</f>
        <v/>
      </c>
      <c r="N71" s="3" t="str">
        <f t="shared" si="53"/>
        <v/>
      </c>
      <c r="O71" s="3" t="str">
        <f t="shared" si="53"/>
        <v/>
      </c>
      <c r="P71" s="3" t="str">
        <f t="shared" si="53"/>
        <v/>
      </c>
      <c r="Q71" s="3" t="str">
        <f t="shared" si="53"/>
        <v/>
      </c>
      <c r="R71" s="3" t="str">
        <f t="shared" si="53"/>
        <v/>
      </c>
      <c r="S71" s="3" t="str">
        <f t="shared" si="53"/>
        <v/>
      </c>
      <c r="T71" s="3" t="str">
        <f t="shared" si="53"/>
        <v/>
      </c>
      <c r="U71" s="112" t="str">
        <f t="shared" si="53"/>
        <v/>
      </c>
    </row>
    <row r="72">
      <c r="A72" s="42"/>
      <c r="B72" s="74" t="s">
        <v>141</v>
      </c>
      <c r="C72" s="31">
        <f t="shared" si="4"/>
        <v>0</v>
      </c>
      <c r="D72" s="3" t="str">
        <f t="shared" ref="D72:I72" si="54">if($C30&gt;$C$45,D30,"")</f>
        <v/>
      </c>
      <c r="E72" s="109" t="str">
        <f t="shared" si="54"/>
        <v/>
      </c>
      <c r="F72" s="110" t="str">
        <f t="shared" si="54"/>
        <v/>
      </c>
      <c r="G72" s="110" t="str">
        <f t="shared" si="54"/>
        <v/>
      </c>
      <c r="H72" s="110" t="str">
        <f t="shared" si="54"/>
        <v/>
      </c>
      <c r="I72" s="110" t="str">
        <f t="shared" si="54"/>
        <v/>
      </c>
      <c r="J72" s="3"/>
      <c r="K72" s="109" t="str">
        <f t="shared" si="6"/>
        <v/>
      </c>
      <c r="L72" s="111" t="b">
        <v>0</v>
      </c>
      <c r="M72" s="3" t="str">
        <f t="shared" ref="M72:U72" si="55">if($L72=TRUE,C72,"")</f>
        <v/>
      </c>
      <c r="N72" s="3" t="str">
        <f t="shared" si="55"/>
        <v/>
      </c>
      <c r="O72" s="3" t="str">
        <f t="shared" si="55"/>
        <v/>
      </c>
      <c r="P72" s="3" t="str">
        <f t="shared" si="55"/>
        <v/>
      </c>
      <c r="Q72" s="3" t="str">
        <f t="shared" si="55"/>
        <v/>
      </c>
      <c r="R72" s="3" t="str">
        <f t="shared" si="55"/>
        <v/>
      </c>
      <c r="S72" s="3" t="str">
        <f t="shared" si="55"/>
        <v/>
      </c>
      <c r="T72" s="3" t="str">
        <f t="shared" si="55"/>
        <v/>
      </c>
      <c r="U72" s="112" t="str">
        <f t="shared" si="55"/>
        <v/>
      </c>
    </row>
    <row r="73">
      <c r="A73" s="42"/>
      <c r="B73" s="49"/>
      <c r="C73" s="50">
        <f t="shared" si="4"/>
        <v>0</v>
      </c>
      <c r="D73" s="3" t="str">
        <f t="shared" ref="D73:I73" si="56">if($C31&gt;$C$45,D31,"")</f>
        <v/>
      </c>
      <c r="E73" s="109" t="str">
        <f t="shared" si="56"/>
        <v/>
      </c>
      <c r="F73" s="110" t="str">
        <f t="shared" si="56"/>
        <v/>
      </c>
      <c r="G73" s="110" t="str">
        <f t="shared" si="56"/>
        <v/>
      </c>
      <c r="H73" s="110" t="str">
        <f t="shared" si="56"/>
        <v/>
      </c>
      <c r="I73" s="110" t="str">
        <f t="shared" si="56"/>
        <v/>
      </c>
      <c r="J73" s="3"/>
      <c r="K73" s="109" t="str">
        <f t="shared" si="6"/>
        <v/>
      </c>
      <c r="L73" s="111" t="b">
        <v>0</v>
      </c>
      <c r="M73" s="3" t="str">
        <f t="shared" ref="M73:U73" si="57">if($L73=TRUE,C73,"")</f>
        <v/>
      </c>
      <c r="N73" s="3" t="str">
        <f t="shared" si="57"/>
        <v/>
      </c>
      <c r="O73" s="3" t="str">
        <f t="shared" si="57"/>
        <v/>
      </c>
      <c r="P73" s="3" t="str">
        <f t="shared" si="57"/>
        <v/>
      </c>
      <c r="Q73" s="3" t="str">
        <f t="shared" si="57"/>
        <v/>
      </c>
      <c r="R73" s="3" t="str">
        <f t="shared" si="57"/>
        <v/>
      </c>
      <c r="S73" s="3" t="str">
        <f t="shared" si="57"/>
        <v/>
      </c>
      <c r="T73" s="3" t="str">
        <f t="shared" si="57"/>
        <v/>
      </c>
      <c r="U73" s="112" t="str">
        <f t="shared" si="57"/>
        <v/>
      </c>
    </row>
    <row r="74">
      <c r="A74" s="42"/>
      <c r="B74" s="78" t="s">
        <v>156</v>
      </c>
      <c r="C74" s="50">
        <f t="shared" si="4"/>
        <v>0</v>
      </c>
      <c r="D74" s="3" t="str">
        <f t="shared" ref="D74:I74" si="58">if($C32&gt;$C$45,D32,"")</f>
        <v/>
      </c>
      <c r="E74" s="109" t="str">
        <f t="shared" si="58"/>
        <v/>
      </c>
      <c r="F74" s="110" t="str">
        <f t="shared" si="58"/>
        <v/>
      </c>
      <c r="G74" s="110" t="str">
        <f t="shared" si="58"/>
        <v/>
      </c>
      <c r="H74" s="110" t="str">
        <f t="shared" si="58"/>
        <v/>
      </c>
      <c r="I74" s="110" t="str">
        <f t="shared" si="58"/>
        <v/>
      </c>
      <c r="J74" s="3"/>
      <c r="K74" s="109" t="str">
        <f t="shared" si="6"/>
        <v/>
      </c>
      <c r="L74" s="113" t="b">
        <v>0</v>
      </c>
      <c r="M74" s="3" t="str">
        <f t="shared" ref="M74:U74" si="59">if($L74=TRUE,C74,"")</f>
        <v/>
      </c>
      <c r="N74" s="3" t="str">
        <f t="shared" si="59"/>
        <v/>
      </c>
      <c r="O74" s="3" t="str">
        <f t="shared" si="59"/>
        <v/>
      </c>
      <c r="P74" s="3" t="str">
        <f t="shared" si="59"/>
        <v/>
      </c>
      <c r="Q74" s="3" t="str">
        <f t="shared" si="59"/>
        <v/>
      </c>
      <c r="R74" s="3" t="str">
        <f t="shared" si="59"/>
        <v/>
      </c>
      <c r="S74" s="3" t="str">
        <f t="shared" si="59"/>
        <v/>
      </c>
      <c r="T74" s="3" t="str">
        <f t="shared" si="59"/>
        <v/>
      </c>
      <c r="U74" s="112" t="str">
        <f t="shared" si="59"/>
        <v/>
      </c>
    </row>
    <row r="75">
      <c r="A75" s="49"/>
      <c r="B75" s="79" t="s">
        <v>107</v>
      </c>
      <c r="C75" s="31">
        <f t="shared" si="4"/>
        <v>0</v>
      </c>
      <c r="D75" s="3" t="str">
        <f t="shared" ref="D75:I75" si="60">if($C33&gt;$C$45,D33,"")</f>
        <v/>
      </c>
      <c r="E75" s="109" t="str">
        <f t="shared" si="60"/>
        <v/>
      </c>
      <c r="F75" s="110" t="str">
        <f t="shared" si="60"/>
        <v/>
      </c>
      <c r="G75" s="110" t="str">
        <f t="shared" si="60"/>
        <v/>
      </c>
      <c r="H75" s="110" t="str">
        <f t="shared" si="60"/>
        <v/>
      </c>
      <c r="I75" s="110" t="str">
        <f t="shared" si="60"/>
        <v/>
      </c>
      <c r="J75" s="3"/>
      <c r="K75" s="109" t="str">
        <f t="shared" si="6"/>
        <v/>
      </c>
      <c r="L75" s="111" t="b">
        <v>0</v>
      </c>
      <c r="M75" s="3" t="str">
        <f t="shared" ref="M75:U75" si="61">if($L75=TRUE,C75,"")</f>
        <v/>
      </c>
      <c r="N75" s="3" t="str">
        <f t="shared" si="61"/>
        <v/>
      </c>
      <c r="O75" s="3" t="str">
        <f t="shared" si="61"/>
        <v/>
      </c>
      <c r="P75" s="3" t="str">
        <f t="shared" si="61"/>
        <v/>
      </c>
      <c r="Q75" s="3" t="str">
        <f t="shared" si="61"/>
        <v/>
      </c>
      <c r="R75" s="3" t="str">
        <f t="shared" si="61"/>
        <v/>
      </c>
      <c r="S75" s="3" t="str">
        <f t="shared" si="61"/>
        <v/>
      </c>
      <c r="T75" s="3" t="str">
        <f t="shared" si="61"/>
        <v/>
      </c>
      <c r="U75" s="112" t="str">
        <f t="shared" si="61"/>
        <v/>
      </c>
    </row>
    <row r="76">
      <c r="A76" s="81" t="s">
        <v>183</v>
      </c>
      <c r="B76" s="42"/>
      <c r="C76" s="31">
        <f t="shared" si="4"/>
        <v>4</v>
      </c>
      <c r="D76" s="3" t="str">
        <f t="shared" ref="D76:I76" si="62">if($C34&gt;$C$45,D34,"")</f>
        <v>RI.1.2</v>
      </c>
      <c r="E76" s="109" t="str">
        <f t="shared" si="62"/>
        <v>Identify the main topic and retell key details of a text.</v>
      </c>
      <c r="F76" s="110" t="b">
        <f t="shared" si="62"/>
        <v>1</v>
      </c>
      <c r="G76" s="110" t="b">
        <f t="shared" si="62"/>
        <v>1</v>
      </c>
      <c r="H76" s="110" t="b">
        <f t="shared" si="62"/>
        <v>1</v>
      </c>
      <c r="I76" s="110" t="b">
        <f t="shared" si="62"/>
        <v>1</v>
      </c>
      <c r="J76" s="3"/>
      <c r="K76" s="109" t="str">
        <f t="shared" si="6"/>
        <v>Important for comprehension of nonfiction
RI.1.1 as learning target</v>
      </c>
      <c r="L76" s="111" t="b">
        <v>1</v>
      </c>
      <c r="M76" s="3">
        <f t="shared" ref="M76:U76" si="63">if($L76=TRUE,C76,"")</f>
        <v>4</v>
      </c>
      <c r="N76" s="3" t="str">
        <f t="shared" si="63"/>
        <v>RI.1.2</v>
      </c>
      <c r="O76" s="3" t="str">
        <f t="shared" si="63"/>
        <v>Identify the main topic and retell key details of a text.</v>
      </c>
      <c r="P76" s="3" t="b">
        <f t="shared" si="63"/>
        <v>1</v>
      </c>
      <c r="Q76" s="3" t="b">
        <f t="shared" si="63"/>
        <v>1</v>
      </c>
      <c r="R76" s="3" t="b">
        <f t="shared" si="63"/>
        <v>1</v>
      </c>
      <c r="S76" s="3" t="b">
        <f t="shared" si="63"/>
        <v>1</v>
      </c>
      <c r="T76" s="3" t="str">
        <f t="shared" si="63"/>
        <v/>
      </c>
      <c r="U76" s="112" t="str">
        <f t="shared" si="63"/>
        <v>Important for comprehension of nonfiction
RI.1.1 as learning target</v>
      </c>
    </row>
    <row r="77">
      <c r="A77" s="42"/>
      <c r="B77" s="49"/>
      <c r="C77" s="50">
        <f t="shared" si="4"/>
        <v>0</v>
      </c>
      <c r="D77" s="3" t="str">
        <f t="shared" ref="D77:I77" si="64">if($C35&gt;$C$45,D35,"")</f>
        <v/>
      </c>
      <c r="E77" s="109" t="str">
        <f t="shared" si="64"/>
        <v/>
      </c>
      <c r="F77" s="110" t="str">
        <f t="shared" si="64"/>
        <v/>
      </c>
      <c r="G77" s="110" t="str">
        <f t="shared" si="64"/>
        <v/>
      </c>
      <c r="H77" s="110" t="str">
        <f t="shared" si="64"/>
        <v/>
      </c>
      <c r="I77" s="110" t="str">
        <f t="shared" si="64"/>
        <v/>
      </c>
      <c r="J77" s="3"/>
      <c r="K77" s="109" t="str">
        <f t="shared" si="6"/>
        <v/>
      </c>
      <c r="L77" s="111" t="b">
        <v>0</v>
      </c>
      <c r="M77" s="3" t="str">
        <f t="shared" ref="M77:U77" si="65">if($L77=TRUE,C77,"")</f>
        <v/>
      </c>
      <c r="N77" s="3" t="str">
        <f t="shared" si="65"/>
        <v/>
      </c>
      <c r="O77" s="3" t="str">
        <f t="shared" si="65"/>
        <v/>
      </c>
      <c r="P77" s="3" t="str">
        <f t="shared" si="65"/>
        <v/>
      </c>
      <c r="Q77" s="3" t="str">
        <f t="shared" si="65"/>
        <v/>
      </c>
      <c r="R77" s="3" t="str">
        <f t="shared" si="65"/>
        <v/>
      </c>
      <c r="S77" s="3" t="str">
        <f t="shared" si="65"/>
        <v/>
      </c>
      <c r="T77" s="3" t="str">
        <f t="shared" si="65"/>
        <v/>
      </c>
      <c r="U77" s="112" t="str">
        <f t="shared" si="65"/>
        <v/>
      </c>
    </row>
    <row r="78">
      <c r="A78" s="42"/>
      <c r="B78" s="83" t="s">
        <v>123</v>
      </c>
      <c r="C78" s="31">
        <f t="shared" si="4"/>
        <v>4</v>
      </c>
      <c r="D78" s="3" t="str">
        <f t="shared" ref="D78:I78" si="66">if($C36&gt;$C$45,D36,"")</f>
        <v>RI.1.4</v>
      </c>
      <c r="E78" s="109" t="str">
        <f t="shared" si="66"/>
        <v>Ask and answer questions to help determine or clarify the meaning of words and phrases in a text.</v>
      </c>
      <c r="F78" s="110" t="b">
        <f t="shared" si="66"/>
        <v>1</v>
      </c>
      <c r="G78" s="110" t="b">
        <f t="shared" si="66"/>
        <v>1</v>
      </c>
      <c r="H78" s="110" t="b">
        <f t="shared" si="66"/>
        <v>1</v>
      </c>
      <c r="I78" s="110" t="b">
        <f t="shared" si="66"/>
        <v>1</v>
      </c>
      <c r="J78" s="3"/>
      <c r="K78" s="109" t="str">
        <f t="shared" si="6"/>
        <v>Vocabulary (Context clues) </v>
      </c>
      <c r="L78" s="111" t="b">
        <v>1</v>
      </c>
      <c r="M78" s="3">
        <f t="shared" ref="M78:U78" si="67">if($L78=TRUE,C78,"")</f>
        <v>4</v>
      </c>
      <c r="N78" s="3" t="str">
        <f t="shared" si="67"/>
        <v>RI.1.4</v>
      </c>
      <c r="O78" s="3" t="str">
        <f t="shared" si="67"/>
        <v>Ask and answer questions to help determine or clarify the meaning of words and phrases in a text.</v>
      </c>
      <c r="P78" s="3" t="b">
        <f t="shared" si="67"/>
        <v>1</v>
      </c>
      <c r="Q78" s="3" t="b">
        <f t="shared" si="67"/>
        <v>1</v>
      </c>
      <c r="R78" s="3" t="b">
        <f t="shared" si="67"/>
        <v>1</v>
      </c>
      <c r="S78" s="3" t="b">
        <f t="shared" si="67"/>
        <v>1</v>
      </c>
      <c r="T78" s="3" t="str">
        <f t="shared" si="67"/>
        <v/>
      </c>
      <c r="U78" s="112" t="str">
        <f t="shared" si="67"/>
        <v>Vocabulary (Context clues) </v>
      </c>
    </row>
    <row r="79">
      <c r="A79" s="42"/>
      <c r="B79" s="42"/>
      <c r="C79" s="31">
        <f t="shared" si="4"/>
        <v>4</v>
      </c>
      <c r="D79" s="3" t="str">
        <f t="shared" ref="D79:I79" si="68">if($C37&gt;$C$45,D37,"")</f>
        <v>RI.1.5</v>
      </c>
      <c r="E79" s="109" t="str">
        <f t="shared" si="68"/>
        <v>Know and use various text features (e.g., headings, tables of contents, glossaries, electronic menus, icons) to locate key facts or information in a text</v>
      </c>
      <c r="F79" s="110" t="b">
        <f t="shared" si="68"/>
        <v>1</v>
      </c>
      <c r="G79" s="110" t="b">
        <f t="shared" si="68"/>
        <v>1</v>
      </c>
      <c r="H79" s="110" t="b">
        <f t="shared" si="68"/>
        <v>1</v>
      </c>
      <c r="I79" s="110" t="b">
        <f t="shared" si="68"/>
        <v>1</v>
      </c>
      <c r="J79" s="3"/>
      <c r="K79" s="109" t="str">
        <f t="shared" si="6"/>
        <v>Text features are used at all grade levels </v>
      </c>
      <c r="L79" s="111" t="b">
        <v>1</v>
      </c>
      <c r="M79" s="3">
        <f t="shared" ref="M79:U79" si="69">if($L79=TRUE,C79,"")</f>
        <v>4</v>
      </c>
      <c r="N79" s="3" t="str">
        <f t="shared" si="69"/>
        <v>RI.1.5</v>
      </c>
      <c r="O79" s="3" t="str">
        <f t="shared" si="69"/>
        <v>Know and use various text features (e.g., headings, tables of contents, glossaries, electronic menus, icons) to locate key facts or information in a text</v>
      </c>
      <c r="P79" s="3" t="b">
        <f t="shared" si="69"/>
        <v>1</v>
      </c>
      <c r="Q79" s="3" t="b">
        <f t="shared" si="69"/>
        <v>1</v>
      </c>
      <c r="R79" s="3" t="b">
        <f t="shared" si="69"/>
        <v>1</v>
      </c>
      <c r="S79" s="3" t="b">
        <f t="shared" si="69"/>
        <v>1</v>
      </c>
      <c r="T79" s="3" t="str">
        <f t="shared" si="69"/>
        <v/>
      </c>
      <c r="U79" s="112" t="str">
        <f t="shared" si="69"/>
        <v>Text features are used at all grade levels </v>
      </c>
    </row>
    <row r="80">
      <c r="A80" s="42"/>
      <c r="B80" s="49"/>
      <c r="C80" s="50">
        <f t="shared" si="4"/>
        <v>0</v>
      </c>
      <c r="D80" s="3" t="str">
        <f t="shared" ref="D80:I80" si="70">if($C38&gt;$C$45,D38,"")</f>
        <v/>
      </c>
      <c r="E80" s="109" t="str">
        <f t="shared" si="70"/>
        <v/>
      </c>
      <c r="F80" s="110" t="str">
        <f t="shared" si="70"/>
        <v/>
      </c>
      <c r="G80" s="110" t="str">
        <f t="shared" si="70"/>
        <v/>
      </c>
      <c r="H80" s="110" t="str">
        <f t="shared" si="70"/>
        <v/>
      </c>
      <c r="I80" s="110" t="str">
        <f t="shared" si="70"/>
        <v/>
      </c>
      <c r="J80" s="3"/>
      <c r="K80" s="109" t="str">
        <f t="shared" si="6"/>
        <v/>
      </c>
      <c r="L80" s="113" t="b">
        <v>0</v>
      </c>
      <c r="M80" s="3" t="str">
        <f t="shared" ref="M80:U80" si="71">if($L80=TRUE,C80,"")</f>
        <v/>
      </c>
      <c r="N80" s="3" t="str">
        <f t="shared" si="71"/>
        <v/>
      </c>
      <c r="O80" s="3" t="str">
        <f t="shared" si="71"/>
        <v/>
      </c>
      <c r="P80" s="3" t="str">
        <f t="shared" si="71"/>
        <v/>
      </c>
      <c r="Q80" s="3" t="str">
        <f t="shared" si="71"/>
        <v/>
      </c>
      <c r="R80" s="3" t="str">
        <f t="shared" si="71"/>
        <v/>
      </c>
      <c r="S80" s="3" t="str">
        <f t="shared" si="71"/>
        <v/>
      </c>
      <c r="T80" s="3" t="str">
        <f t="shared" si="71"/>
        <v/>
      </c>
      <c r="U80" s="112" t="str">
        <f t="shared" si="71"/>
        <v/>
      </c>
    </row>
    <row r="81">
      <c r="A81" s="42"/>
      <c r="B81" s="86" t="s">
        <v>141</v>
      </c>
      <c r="C81" s="31">
        <f t="shared" si="4"/>
        <v>0</v>
      </c>
      <c r="D81" s="3" t="str">
        <f t="shared" ref="D81:I81" si="72">if($C39&gt;$C$45,D39,"")</f>
        <v/>
      </c>
      <c r="E81" s="109" t="str">
        <f t="shared" si="72"/>
        <v/>
      </c>
      <c r="F81" s="110" t="str">
        <f t="shared" si="72"/>
        <v/>
      </c>
      <c r="G81" s="110" t="str">
        <f t="shared" si="72"/>
        <v/>
      </c>
      <c r="H81" s="110" t="str">
        <f t="shared" si="72"/>
        <v/>
      </c>
      <c r="I81" s="110" t="str">
        <f t="shared" si="72"/>
        <v/>
      </c>
      <c r="J81" s="3"/>
      <c r="K81" s="109" t="str">
        <f t="shared" si="6"/>
        <v/>
      </c>
      <c r="L81" s="113" t="b">
        <v>0</v>
      </c>
      <c r="M81" s="3" t="str">
        <f t="shared" ref="M81:U81" si="73">if($L81=TRUE,C81,"")</f>
        <v/>
      </c>
      <c r="N81" s="3" t="str">
        <f t="shared" si="73"/>
        <v/>
      </c>
      <c r="O81" s="3" t="str">
        <f t="shared" si="73"/>
        <v/>
      </c>
      <c r="P81" s="3" t="str">
        <f t="shared" si="73"/>
        <v/>
      </c>
      <c r="Q81" s="3" t="str">
        <f t="shared" si="73"/>
        <v/>
      </c>
      <c r="R81" s="3" t="str">
        <f t="shared" si="73"/>
        <v/>
      </c>
      <c r="S81" s="3" t="str">
        <f t="shared" si="73"/>
        <v/>
      </c>
      <c r="T81" s="3" t="str">
        <f t="shared" si="73"/>
        <v/>
      </c>
      <c r="U81" s="112" t="str">
        <f t="shared" si="73"/>
        <v/>
      </c>
    </row>
    <row r="82">
      <c r="A82" s="42"/>
      <c r="B82" s="42"/>
      <c r="C82" s="31">
        <f t="shared" si="4"/>
        <v>0</v>
      </c>
      <c r="D82" s="3" t="str">
        <f t="shared" ref="D82:I82" si="74">if($C40&gt;$C$45,D40,"")</f>
        <v/>
      </c>
      <c r="E82" s="109" t="str">
        <f t="shared" si="74"/>
        <v/>
      </c>
      <c r="F82" s="110" t="str">
        <f t="shared" si="74"/>
        <v/>
      </c>
      <c r="G82" s="110" t="str">
        <f t="shared" si="74"/>
        <v/>
      </c>
      <c r="H82" s="110" t="str">
        <f t="shared" si="74"/>
        <v/>
      </c>
      <c r="I82" s="110" t="str">
        <f t="shared" si="74"/>
        <v/>
      </c>
      <c r="J82" s="3"/>
      <c r="K82" s="109" t="str">
        <f t="shared" si="6"/>
        <v/>
      </c>
      <c r="L82" s="113" t="b">
        <v>0</v>
      </c>
      <c r="M82" s="3" t="str">
        <f t="shared" ref="M82:U82" si="75">if($L82=TRUE,C82,"")</f>
        <v/>
      </c>
      <c r="N82" s="3" t="str">
        <f t="shared" si="75"/>
        <v/>
      </c>
      <c r="O82" s="3" t="str">
        <f t="shared" si="75"/>
        <v/>
      </c>
      <c r="P82" s="3" t="str">
        <f t="shared" si="75"/>
        <v/>
      </c>
      <c r="Q82" s="3" t="str">
        <f t="shared" si="75"/>
        <v/>
      </c>
      <c r="R82" s="3" t="str">
        <f t="shared" si="75"/>
        <v/>
      </c>
      <c r="S82" s="3" t="str">
        <f t="shared" si="75"/>
        <v/>
      </c>
      <c r="T82" s="3" t="str">
        <f t="shared" si="75"/>
        <v/>
      </c>
      <c r="U82" s="112" t="str">
        <f t="shared" si="75"/>
        <v/>
      </c>
    </row>
    <row r="83">
      <c r="A83" s="42"/>
      <c r="B83" s="49"/>
      <c r="C83" s="50">
        <f t="shared" si="4"/>
        <v>0</v>
      </c>
      <c r="D83" s="3" t="str">
        <f t="shared" ref="D83:I83" si="76">if($C41&gt;$C$45,D41,"")</f>
        <v/>
      </c>
      <c r="E83" s="109" t="str">
        <f t="shared" si="76"/>
        <v/>
      </c>
      <c r="F83" s="110" t="str">
        <f t="shared" si="76"/>
        <v/>
      </c>
      <c r="G83" s="110" t="str">
        <f t="shared" si="76"/>
        <v/>
      </c>
      <c r="H83" s="110" t="str">
        <f t="shared" si="76"/>
        <v/>
      </c>
      <c r="I83" s="110" t="str">
        <f t="shared" si="76"/>
        <v/>
      </c>
      <c r="J83" s="3"/>
      <c r="K83" s="109" t="str">
        <f t="shared" si="6"/>
        <v/>
      </c>
      <c r="L83" s="113" t="b">
        <v>0</v>
      </c>
      <c r="M83" s="3" t="str">
        <f t="shared" ref="M83:U83" si="77">if($L83=TRUE,C83,"")</f>
        <v/>
      </c>
      <c r="N83" s="3" t="str">
        <f t="shared" si="77"/>
        <v/>
      </c>
      <c r="O83" s="3" t="str">
        <f t="shared" si="77"/>
        <v/>
      </c>
      <c r="P83" s="3" t="str">
        <f t="shared" si="77"/>
        <v/>
      </c>
      <c r="Q83" s="3" t="str">
        <f t="shared" si="77"/>
        <v/>
      </c>
      <c r="R83" s="3" t="str">
        <f t="shared" si="77"/>
        <v/>
      </c>
      <c r="S83" s="3" t="str">
        <f t="shared" si="77"/>
        <v/>
      </c>
      <c r="T83" s="3" t="str">
        <f t="shared" si="77"/>
        <v/>
      </c>
      <c r="U83" s="112" t="str">
        <f t="shared" si="77"/>
        <v/>
      </c>
    </row>
    <row r="84">
      <c r="A84" s="49"/>
      <c r="B84" s="90" t="s">
        <v>156</v>
      </c>
      <c r="C84" s="31">
        <f t="shared" si="4"/>
        <v>0</v>
      </c>
      <c r="D84" s="3" t="str">
        <f t="shared" ref="D84:I84" si="78">if($C42&gt;$C$45,D42,"")</f>
        <v/>
      </c>
      <c r="E84" s="109" t="str">
        <f t="shared" si="78"/>
        <v/>
      </c>
      <c r="F84" s="110" t="str">
        <f t="shared" si="78"/>
        <v/>
      </c>
      <c r="G84" s="110" t="str">
        <f t="shared" si="78"/>
        <v/>
      </c>
      <c r="H84" s="110" t="str">
        <f t="shared" si="78"/>
        <v/>
      </c>
      <c r="I84" s="110" t="str">
        <f t="shared" si="78"/>
        <v/>
      </c>
      <c r="J84" s="3"/>
      <c r="K84" s="109" t="str">
        <f t="shared" si="6"/>
        <v/>
      </c>
      <c r="L84" s="111" t="b">
        <v>0</v>
      </c>
      <c r="M84" s="3" t="str">
        <f t="shared" ref="M84:U84" si="79">if($L84=TRUE,C84,"")</f>
        <v/>
      </c>
      <c r="N84" s="3" t="str">
        <f t="shared" si="79"/>
        <v/>
      </c>
      <c r="O84" s="3" t="str">
        <f t="shared" si="79"/>
        <v/>
      </c>
      <c r="P84" s="3" t="str">
        <f t="shared" si="79"/>
        <v/>
      </c>
      <c r="Q84" s="3" t="str">
        <f t="shared" si="79"/>
        <v/>
      </c>
      <c r="R84" s="3" t="str">
        <f t="shared" si="79"/>
        <v/>
      </c>
      <c r="S84" s="3" t="str">
        <f t="shared" si="79"/>
        <v/>
      </c>
      <c r="T84" s="3" t="str">
        <f t="shared" si="79"/>
        <v/>
      </c>
      <c r="U84" s="112" t="str">
        <f t="shared" si="79"/>
        <v/>
      </c>
    </row>
  </sheetData>
  <mergeCells count="34">
    <mergeCell ref="B62:B65"/>
    <mergeCell ref="B66:B68"/>
    <mergeCell ref="A45:B45"/>
    <mergeCell ref="A46:B46"/>
    <mergeCell ref="A47:A65"/>
    <mergeCell ref="B47:B48"/>
    <mergeCell ref="B49:B53"/>
    <mergeCell ref="B54:B61"/>
    <mergeCell ref="B75:B77"/>
    <mergeCell ref="A2:B2"/>
    <mergeCell ref="C2:K2"/>
    <mergeCell ref="A3:K3"/>
    <mergeCell ref="A4:B4"/>
    <mergeCell ref="A5:A23"/>
    <mergeCell ref="B5:B6"/>
    <mergeCell ref="B7:B11"/>
    <mergeCell ref="B33:B35"/>
    <mergeCell ref="B36:B38"/>
    <mergeCell ref="B39:B41"/>
    <mergeCell ref="A44:B44"/>
    <mergeCell ref="F44:G44"/>
    <mergeCell ref="B12:B19"/>
    <mergeCell ref="B20:B23"/>
    <mergeCell ref="A24:A33"/>
    <mergeCell ref="B24:B26"/>
    <mergeCell ref="B27:B29"/>
    <mergeCell ref="B30:B31"/>
    <mergeCell ref="A34:A42"/>
    <mergeCell ref="B69:B71"/>
    <mergeCell ref="B72:B73"/>
    <mergeCell ref="A66:A75"/>
    <mergeCell ref="A76:A84"/>
    <mergeCell ref="B78:B80"/>
    <mergeCell ref="B81:B83"/>
  </mergeCells>
  <conditionalFormatting sqref="F47:I84">
    <cfRule type="cellIs" dxfId="0" priority="1" operator="equal">
      <formula>"TRUE"</formula>
    </cfRule>
  </conditionalFormatting>
  <conditionalFormatting sqref="F47:I84">
    <cfRule type="cellIs" dxfId="1" priority="2" operator="equal">
      <formula>"FALSE"</formula>
    </cfRule>
  </conditionalFormatting>
  <conditionalFormatting sqref="D44">
    <cfRule type="expression" dxfId="2" priority="3">
      <formula>D44&gt;K44</formula>
    </cfRule>
  </conditionalFormatting>
  <conditionalFormatting sqref="D44">
    <cfRule type="expression" dxfId="3" priority="4">
      <formula>D44&lt;=K44</formula>
    </cfRule>
  </conditionalFormatting>
  <conditionalFormatting sqref="C5:C42 C47:C84">
    <cfRule type="cellIs" dxfId="4" priority="5" operator="equal">
      <formula>0</formula>
    </cfRule>
  </conditionalFormatting>
  <conditionalFormatting sqref="C5:C42 C47:C84">
    <cfRule type="cellIs" dxfId="5" priority="6" operator="equal">
      <formula>1</formula>
    </cfRule>
  </conditionalFormatting>
  <conditionalFormatting sqref="C5:C42 C47:C84">
    <cfRule type="cellIs" dxfId="6" priority="7" operator="equal">
      <formula>2</formula>
    </cfRule>
  </conditionalFormatting>
  <conditionalFormatting sqref="C5:C42 C47:C84">
    <cfRule type="cellIs" dxfId="7" priority="8" operator="equal">
      <formula>3</formula>
    </cfRule>
  </conditionalFormatting>
  <conditionalFormatting sqref="C5:C42 C47:C84">
    <cfRule type="cellIs" dxfId="8" priority="9" operator="equal">
      <formula>4</formula>
    </cfRule>
  </conditionalFormatting>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E599"/>
    <outlinePr summaryBelow="0" summaryRight="0"/>
  </sheetPr>
  <sheetViews>
    <sheetView workbookViewId="0"/>
  </sheetViews>
  <sheetFormatPr customHeight="1" defaultColWidth="14.43" defaultRowHeight="15.75" outlineLevelCol="1" outlineLevelRow="1"/>
  <cols>
    <col customWidth="1" min="1" max="1" width="5.14"/>
    <col customWidth="1" min="2" max="2" width="15.86"/>
    <col customWidth="1" min="3" max="3" width="5.14"/>
    <col customWidth="1" min="4" max="4" width="10.86"/>
    <col customWidth="1" min="5" max="5" width="57.29"/>
    <col customWidth="1" min="6" max="9" width="3.0"/>
    <col customWidth="1" min="10" max="10" width="0.86"/>
    <col customWidth="1" min="11" max="11" width="43.0"/>
    <col collapsed="1" customWidth="1" min="12" max="12" width="8.29"/>
    <col hidden="1" min="13" max="21" width="14.43" outlineLevel="1"/>
  </cols>
  <sheetData>
    <row r="1" ht="7.5" customHeight="1" collapsed="1">
      <c r="B1" s="2"/>
      <c r="C1" s="4"/>
      <c r="D1" s="4"/>
      <c r="E1" s="4"/>
      <c r="F1" s="4"/>
      <c r="G1" s="4"/>
      <c r="H1" s="4"/>
      <c r="I1" s="4"/>
      <c r="J1" s="4"/>
      <c r="K1" s="4"/>
      <c r="U1" s="12"/>
    </row>
    <row r="2" ht="42.75" hidden="1" customHeight="1" outlineLevel="1">
      <c r="A2" s="6" t="s">
        <v>2</v>
      </c>
      <c r="C2" s="8" t="s">
        <v>4</v>
      </c>
      <c r="U2" s="12"/>
    </row>
    <row r="3">
      <c r="A3" s="10" t="s">
        <v>20</v>
      </c>
      <c r="B3" s="11"/>
      <c r="C3" s="11"/>
      <c r="D3" s="11"/>
      <c r="E3" s="11"/>
      <c r="F3" s="11"/>
      <c r="G3" s="11"/>
      <c r="H3" s="11"/>
      <c r="I3" s="11"/>
      <c r="J3" s="11"/>
      <c r="K3" s="13"/>
      <c r="U3" s="12"/>
    </row>
    <row r="4" outlineLevel="1">
      <c r="A4" s="33" t="s">
        <v>8</v>
      </c>
      <c r="B4" s="20"/>
      <c r="C4" s="35" t="s">
        <v>10</v>
      </c>
      <c r="D4" s="37" t="s">
        <v>11</v>
      </c>
      <c r="E4" s="39" t="s">
        <v>12</v>
      </c>
      <c r="F4" s="35" t="s">
        <v>13</v>
      </c>
      <c r="G4" s="35" t="s">
        <v>14</v>
      </c>
      <c r="H4" s="35" t="s">
        <v>15</v>
      </c>
      <c r="I4" s="35" t="s">
        <v>16</v>
      </c>
      <c r="J4" s="35"/>
      <c r="K4" s="35" t="s">
        <v>17</v>
      </c>
      <c r="U4" s="12"/>
    </row>
    <row r="5" outlineLevel="1">
      <c r="A5" s="28" t="s">
        <v>18</v>
      </c>
      <c r="B5" s="30" t="s">
        <v>25</v>
      </c>
      <c r="C5" s="31">
        <f t="shared" ref="C5:C34" si="1">countif(F5:I5,TRUE)</f>
        <v>4</v>
      </c>
      <c r="D5" s="41" t="s">
        <v>31</v>
      </c>
      <c r="E5" s="43" t="s">
        <v>32</v>
      </c>
      <c r="F5" s="45" t="b">
        <v>1</v>
      </c>
      <c r="G5" s="45" t="b">
        <v>1</v>
      </c>
      <c r="H5" s="45" t="b">
        <v>1</v>
      </c>
      <c r="I5" s="45" t="b">
        <v>1</v>
      </c>
      <c r="J5" s="47"/>
      <c r="K5" s="47" t="s">
        <v>35</v>
      </c>
      <c r="U5" s="12"/>
    </row>
    <row r="6" outlineLevel="1">
      <c r="A6" s="42"/>
      <c r="B6" s="42"/>
      <c r="C6" s="31">
        <f t="shared" si="1"/>
        <v>4</v>
      </c>
      <c r="D6" s="41" t="s">
        <v>36</v>
      </c>
      <c r="E6" s="43" t="s">
        <v>37</v>
      </c>
      <c r="F6" s="45" t="b">
        <v>1</v>
      </c>
      <c r="G6" s="45" t="b">
        <v>1</v>
      </c>
      <c r="H6" s="45" t="b">
        <v>1</v>
      </c>
      <c r="I6" s="45" t="b">
        <v>1</v>
      </c>
      <c r="J6" s="48"/>
      <c r="K6" s="47" t="s">
        <v>35</v>
      </c>
      <c r="U6" s="12"/>
    </row>
    <row r="7" outlineLevel="1">
      <c r="A7" s="42"/>
      <c r="B7" s="42"/>
      <c r="C7" s="31">
        <f t="shared" si="1"/>
        <v>4</v>
      </c>
      <c r="D7" s="41" t="s">
        <v>39</v>
      </c>
      <c r="E7" s="43" t="s">
        <v>40</v>
      </c>
      <c r="F7" s="45" t="b">
        <v>1</v>
      </c>
      <c r="G7" s="45" t="b">
        <v>1</v>
      </c>
      <c r="H7" s="45" t="b">
        <v>1</v>
      </c>
      <c r="I7" s="45" t="b">
        <v>1</v>
      </c>
      <c r="J7" s="47"/>
      <c r="K7" s="51" t="s">
        <v>41</v>
      </c>
      <c r="U7" s="12"/>
    </row>
    <row r="8" outlineLevel="1">
      <c r="A8" s="42"/>
      <c r="B8" s="42"/>
      <c r="C8" s="31">
        <f t="shared" si="1"/>
        <v>4</v>
      </c>
      <c r="D8" s="41" t="s">
        <v>44</v>
      </c>
      <c r="E8" s="43" t="s">
        <v>45</v>
      </c>
      <c r="F8" s="45" t="b">
        <v>1</v>
      </c>
      <c r="G8" s="45" t="b">
        <v>1</v>
      </c>
      <c r="H8" s="45" t="b">
        <v>1</v>
      </c>
      <c r="I8" s="45" t="b">
        <v>1</v>
      </c>
      <c r="J8" s="48"/>
      <c r="K8" s="46" t="s">
        <v>46</v>
      </c>
      <c r="U8" s="12"/>
    </row>
    <row r="9" outlineLevel="1">
      <c r="A9" s="42"/>
      <c r="B9" s="42"/>
      <c r="C9" s="31">
        <f t="shared" si="1"/>
        <v>4</v>
      </c>
      <c r="D9" s="41" t="s">
        <v>48</v>
      </c>
      <c r="E9" s="43" t="s">
        <v>49</v>
      </c>
      <c r="F9" s="45" t="b">
        <v>1</v>
      </c>
      <c r="G9" s="45" t="b">
        <v>1</v>
      </c>
      <c r="H9" s="45" t="b">
        <v>1</v>
      </c>
      <c r="I9" s="45" t="b">
        <v>1</v>
      </c>
      <c r="J9" s="48"/>
      <c r="K9" s="46" t="s">
        <v>50</v>
      </c>
      <c r="U9" s="12"/>
    </row>
    <row r="10" outlineLevel="1">
      <c r="A10" s="42"/>
      <c r="B10" s="42"/>
      <c r="C10" s="31">
        <f t="shared" si="1"/>
        <v>4</v>
      </c>
      <c r="D10" s="41" t="s">
        <v>51</v>
      </c>
      <c r="E10" s="43" t="s">
        <v>52</v>
      </c>
      <c r="F10" s="45" t="b">
        <v>1</v>
      </c>
      <c r="G10" s="45" t="b">
        <v>1</v>
      </c>
      <c r="H10" s="45" t="b">
        <v>1</v>
      </c>
      <c r="I10" s="45" t="b">
        <v>1</v>
      </c>
      <c r="J10" s="48"/>
      <c r="K10" s="47" t="s">
        <v>35</v>
      </c>
      <c r="U10" s="12"/>
    </row>
    <row r="11" outlineLevel="1">
      <c r="A11" s="42"/>
      <c r="B11" s="49"/>
      <c r="C11" s="50">
        <f t="shared" si="1"/>
        <v>4</v>
      </c>
      <c r="D11" s="52" t="s">
        <v>53</v>
      </c>
      <c r="E11" s="53" t="s">
        <v>54</v>
      </c>
      <c r="F11" s="55" t="b">
        <v>1</v>
      </c>
      <c r="G11" s="55" t="b">
        <v>1</v>
      </c>
      <c r="H11" s="55" t="b">
        <v>1</v>
      </c>
      <c r="I11" s="55" t="b">
        <v>1</v>
      </c>
      <c r="J11" s="57"/>
      <c r="K11" s="61" t="s">
        <v>35</v>
      </c>
      <c r="U11" s="12"/>
    </row>
    <row r="12" outlineLevel="1">
      <c r="A12" s="42"/>
      <c r="B12" s="63" t="s">
        <v>66</v>
      </c>
      <c r="C12" s="31">
        <f t="shared" si="1"/>
        <v>4</v>
      </c>
      <c r="D12" s="41" t="s">
        <v>73</v>
      </c>
      <c r="E12" s="43" t="s">
        <v>74</v>
      </c>
      <c r="F12" s="45" t="b">
        <v>1</v>
      </c>
      <c r="G12" s="45" t="b">
        <v>1</v>
      </c>
      <c r="H12" s="45" t="b">
        <v>1</v>
      </c>
      <c r="I12" s="45" t="b">
        <v>1</v>
      </c>
      <c r="J12" s="48"/>
      <c r="K12" s="47" t="s">
        <v>35</v>
      </c>
      <c r="U12" s="12"/>
    </row>
    <row r="13" outlineLevel="1">
      <c r="A13" s="42"/>
      <c r="B13" s="42"/>
      <c r="C13" s="31">
        <f t="shared" si="1"/>
        <v>4</v>
      </c>
      <c r="D13" s="41" t="s">
        <v>82</v>
      </c>
      <c r="E13" s="43" t="s">
        <v>83</v>
      </c>
      <c r="F13" s="45" t="b">
        <v>1</v>
      </c>
      <c r="G13" s="45" t="b">
        <v>1</v>
      </c>
      <c r="H13" s="45" t="b">
        <v>1</v>
      </c>
      <c r="I13" s="45" t="b">
        <v>1</v>
      </c>
      <c r="J13" s="48"/>
      <c r="K13" s="47" t="s">
        <v>35</v>
      </c>
      <c r="U13" s="12"/>
    </row>
    <row r="14" outlineLevel="1">
      <c r="A14" s="42"/>
      <c r="B14" s="42"/>
      <c r="C14" s="31">
        <f t="shared" si="1"/>
        <v>4</v>
      </c>
      <c r="D14" s="41" t="s">
        <v>90</v>
      </c>
      <c r="E14" s="43" t="s">
        <v>91</v>
      </c>
      <c r="F14" s="45" t="b">
        <v>1</v>
      </c>
      <c r="G14" s="45" t="b">
        <v>1</v>
      </c>
      <c r="H14" s="45" t="b">
        <v>1</v>
      </c>
      <c r="I14" s="45" t="b">
        <v>1</v>
      </c>
      <c r="J14" s="48"/>
      <c r="K14" s="47" t="s">
        <v>35</v>
      </c>
      <c r="U14" s="12"/>
    </row>
    <row r="15" outlineLevel="1">
      <c r="A15" s="49"/>
      <c r="B15" s="49"/>
      <c r="C15" s="50">
        <f t="shared" si="1"/>
        <v>4</v>
      </c>
      <c r="D15" s="52" t="s">
        <v>97</v>
      </c>
      <c r="E15" s="53" t="s">
        <v>99</v>
      </c>
      <c r="F15" s="55" t="b">
        <v>1</v>
      </c>
      <c r="G15" s="55" t="b">
        <v>1</v>
      </c>
      <c r="H15" s="55" t="b">
        <v>1</v>
      </c>
      <c r="I15" s="55" t="b">
        <v>1</v>
      </c>
      <c r="J15" s="57"/>
      <c r="K15" s="61" t="s">
        <v>35</v>
      </c>
      <c r="U15" s="12"/>
    </row>
    <row r="16" outlineLevel="1">
      <c r="A16" s="65" t="s">
        <v>102</v>
      </c>
      <c r="B16" s="67" t="s">
        <v>107</v>
      </c>
      <c r="C16" s="31">
        <f t="shared" si="1"/>
        <v>4</v>
      </c>
      <c r="D16" s="41" t="s">
        <v>108</v>
      </c>
      <c r="E16" s="43" t="s">
        <v>109</v>
      </c>
      <c r="F16" s="45" t="b">
        <v>1</v>
      </c>
      <c r="G16" s="45" t="b">
        <v>1</v>
      </c>
      <c r="H16" s="45" t="b">
        <v>1</v>
      </c>
      <c r="I16" s="45" t="b">
        <v>1</v>
      </c>
      <c r="J16" s="48"/>
      <c r="K16" s="47"/>
      <c r="U16" s="12"/>
    </row>
    <row r="17" outlineLevel="1">
      <c r="A17" s="42"/>
      <c r="B17" s="42"/>
      <c r="C17" s="31">
        <f t="shared" si="1"/>
        <v>4</v>
      </c>
      <c r="D17" s="41" t="s">
        <v>110</v>
      </c>
      <c r="E17" s="43" t="s">
        <v>111</v>
      </c>
      <c r="F17" s="45" t="b">
        <v>1</v>
      </c>
      <c r="G17" s="45" t="b">
        <v>1</v>
      </c>
      <c r="H17" s="45" t="b">
        <v>1</v>
      </c>
      <c r="I17" s="45" t="b">
        <v>1</v>
      </c>
      <c r="J17" s="48"/>
      <c r="K17" s="47" t="s">
        <v>112</v>
      </c>
      <c r="U17" s="12"/>
    </row>
    <row r="18" outlineLevel="1">
      <c r="A18" s="42"/>
      <c r="B18" s="49"/>
      <c r="C18" s="50">
        <f t="shared" si="1"/>
        <v>0</v>
      </c>
      <c r="D18" s="52" t="s">
        <v>114</v>
      </c>
      <c r="E18" s="53" t="s">
        <v>115</v>
      </c>
      <c r="F18" s="55" t="b">
        <v>0</v>
      </c>
      <c r="G18" s="55" t="b">
        <v>0</v>
      </c>
      <c r="H18" s="55" t="b">
        <v>0</v>
      </c>
      <c r="I18" s="70" t="b">
        <v>0</v>
      </c>
      <c r="J18" s="57"/>
      <c r="K18" s="47" t="s">
        <v>121</v>
      </c>
      <c r="U18" s="12"/>
    </row>
    <row r="19" outlineLevel="1">
      <c r="A19" s="42"/>
      <c r="B19" s="71" t="s">
        <v>123</v>
      </c>
      <c r="C19" s="31">
        <f t="shared" si="1"/>
        <v>1</v>
      </c>
      <c r="D19" s="41" t="s">
        <v>132</v>
      </c>
      <c r="E19" s="43" t="s">
        <v>133</v>
      </c>
      <c r="F19" s="45" t="b">
        <v>1</v>
      </c>
      <c r="G19" s="72" t="b">
        <v>0</v>
      </c>
      <c r="H19" s="45" t="b">
        <v>0</v>
      </c>
      <c r="I19" s="45" t="b">
        <v>0</v>
      </c>
      <c r="J19" s="48"/>
      <c r="K19" s="47" t="s">
        <v>135</v>
      </c>
      <c r="U19" s="12"/>
    </row>
    <row r="20" outlineLevel="1">
      <c r="A20" s="42"/>
      <c r="B20" s="42"/>
      <c r="C20" s="31">
        <f t="shared" si="1"/>
        <v>4</v>
      </c>
      <c r="D20" s="41" t="s">
        <v>136</v>
      </c>
      <c r="E20" s="43" t="s">
        <v>137</v>
      </c>
      <c r="F20" s="45" t="b">
        <v>1</v>
      </c>
      <c r="G20" s="45" t="b">
        <v>1</v>
      </c>
      <c r="H20" s="45" t="b">
        <v>1</v>
      </c>
      <c r="I20" s="45" t="b">
        <v>1</v>
      </c>
      <c r="J20" s="48"/>
      <c r="K20" s="48"/>
      <c r="U20" s="12"/>
    </row>
    <row r="21" outlineLevel="1">
      <c r="A21" s="42"/>
      <c r="B21" s="49"/>
      <c r="C21" s="50">
        <f t="shared" si="1"/>
        <v>1</v>
      </c>
      <c r="D21" s="52" t="s">
        <v>138</v>
      </c>
      <c r="E21" s="53" t="s">
        <v>139</v>
      </c>
      <c r="F21" s="55" t="b">
        <v>1</v>
      </c>
      <c r="G21" s="70" t="b">
        <v>0</v>
      </c>
      <c r="H21" s="70" t="b">
        <v>0</v>
      </c>
      <c r="I21" s="70" t="b">
        <v>0</v>
      </c>
      <c r="J21" s="57"/>
      <c r="K21" s="57"/>
      <c r="U21" s="12"/>
    </row>
    <row r="22" outlineLevel="1">
      <c r="A22" s="42"/>
      <c r="B22" s="74" t="s">
        <v>141</v>
      </c>
      <c r="C22" s="31">
        <f t="shared" si="1"/>
        <v>0</v>
      </c>
      <c r="D22" s="41" t="s">
        <v>148</v>
      </c>
      <c r="E22" s="43" t="s">
        <v>149</v>
      </c>
      <c r="F22" s="72" t="b">
        <v>0</v>
      </c>
      <c r="G22" s="45" t="b">
        <v>0</v>
      </c>
      <c r="H22" s="45" t="b">
        <v>0</v>
      </c>
      <c r="I22" s="72" t="b">
        <v>0</v>
      </c>
      <c r="J22" s="48"/>
      <c r="K22" s="47" t="s">
        <v>150</v>
      </c>
      <c r="U22" s="12"/>
    </row>
    <row r="23" outlineLevel="1">
      <c r="A23" s="42"/>
      <c r="B23" s="49"/>
      <c r="C23" s="50">
        <f t="shared" si="1"/>
        <v>2</v>
      </c>
      <c r="D23" s="52" t="s">
        <v>152</v>
      </c>
      <c r="E23" s="53" t="s">
        <v>153</v>
      </c>
      <c r="F23" s="55" t="b">
        <v>1</v>
      </c>
      <c r="G23" s="55" t="b">
        <v>1</v>
      </c>
      <c r="H23" s="70" t="b">
        <v>0</v>
      </c>
      <c r="I23" s="70" t="b">
        <v>0</v>
      </c>
      <c r="J23" s="57"/>
      <c r="K23" s="57"/>
      <c r="U23" s="12"/>
    </row>
    <row r="24" outlineLevel="1">
      <c r="A24" s="42"/>
      <c r="B24" s="78" t="s">
        <v>156</v>
      </c>
      <c r="C24" s="50">
        <f t="shared" si="1"/>
        <v>0</v>
      </c>
      <c r="D24" s="52" t="s">
        <v>167</v>
      </c>
      <c r="E24" s="76" t="s">
        <v>168</v>
      </c>
      <c r="F24" s="70" t="b">
        <v>0</v>
      </c>
      <c r="G24" s="70" t="b">
        <v>0</v>
      </c>
      <c r="H24" s="70" t="b">
        <v>0</v>
      </c>
      <c r="I24" s="70" t="b">
        <v>0</v>
      </c>
      <c r="J24" s="57"/>
      <c r="K24" s="46" t="s">
        <v>171</v>
      </c>
      <c r="U24" s="12"/>
    </row>
    <row r="25" outlineLevel="1">
      <c r="A25" s="49"/>
      <c r="B25" s="79" t="s">
        <v>107</v>
      </c>
      <c r="C25" s="31">
        <f t="shared" si="1"/>
        <v>0</v>
      </c>
      <c r="D25" s="41" t="s">
        <v>181</v>
      </c>
      <c r="E25" s="43" t="s">
        <v>109</v>
      </c>
      <c r="F25" s="45" t="b">
        <v>0</v>
      </c>
      <c r="G25" s="45" t="b">
        <v>0</v>
      </c>
      <c r="H25" s="72" t="b">
        <v>0</v>
      </c>
      <c r="I25" s="72" t="b">
        <v>0</v>
      </c>
      <c r="J25" s="48"/>
      <c r="K25" s="47" t="s">
        <v>182</v>
      </c>
      <c r="U25" s="12"/>
    </row>
    <row r="26" outlineLevel="1">
      <c r="A26" s="81" t="s">
        <v>183</v>
      </c>
      <c r="B26" s="42"/>
      <c r="C26" s="31">
        <f t="shared" si="1"/>
        <v>0</v>
      </c>
      <c r="D26" s="41" t="s">
        <v>193</v>
      </c>
      <c r="E26" s="43" t="s">
        <v>195</v>
      </c>
      <c r="F26" s="45" t="b">
        <v>0</v>
      </c>
      <c r="G26" s="45" t="b">
        <v>0</v>
      </c>
      <c r="H26" s="45" t="b">
        <v>0</v>
      </c>
      <c r="I26" s="45" t="b">
        <v>0</v>
      </c>
      <c r="J26" s="48"/>
      <c r="K26" s="47" t="s">
        <v>182</v>
      </c>
      <c r="U26" s="12"/>
    </row>
    <row r="27" outlineLevel="1">
      <c r="A27" s="42"/>
      <c r="B27" s="49"/>
      <c r="C27" s="50">
        <f t="shared" si="1"/>
        <v>1</v>
      </c>
      <c r="D27" s="52" t="s">
        <v>202</v>
      </c>
      <c r="E27" s="53" t="s">
        <v>203</v>
      </c>
      <c r="F27" s="70" t="b">
        <v>0</v>
      </c>
      <c r="G27" s="55" t="b">
        <v>0</v>
      </c>
      <c r="H27" s="55" t="b">
        <v>0</v>
      </c>
      <c r="I27" s="55" t="b">
        <v>1</v>
      </c>
      <c r="J27" s="57"/>
      <c r="K27" s="47"/>
      <c r="U27" s="12"/>
    </row>
    <row r="28" outlineLevel="1">
      <c r="A28" s="42"/>
      <c r="B28" s="83" t="s">
        <v>123</v>
      </c>
      <c r="C28" s="31">
        <f t="shared" si="1"/>
        <v>4</v>
      </c>
      <c r="D28" s="41" t="s">
        <v>207</v>
      </c>
      <c r="E28" s="43" t="s">
        <v>208</v>
      </c>
      <c r="F28" s="45" t="b">
        <v>1</v>
      </c>
      <c r="G28" s="45" t="b">
        <v>1</v>
      </c>
      <c r="H28" s="45" t="b">
        <v>1</v>
      </c>
      <c r="I28" s="45" t="b">
        <v>1</v>
      </c>
      <c r="J28" s="48"/>
      <c r="K28" s="47" t="s">
        <v>209</v>
      </c>
      <c r="U28" s="12"/>
    </row>
    <row r="29" outlineLevel="1">
      <c r="A29" s="42"/>
      <c r="B29" s="42"/>
      <c r="C29" s="31">
        <f t="shared" si="1"/>
        <v>4</v>
      </c>
      <c r="D29" s="41" t="s">
        <v>210</v>
      </c>
      <c r="E29" s="43" t="s">
        <v>211</v>
      </c>
      <c r="F29" s="45" t="b">
        <v>1</v>
      </c>
      <c r="G29" s="45" t="b">
        <v>1</v>
      </c>
      <c r="H29" s="45" t="b">
        <v>1</v>
      </c>
      <c r="I29" s="45" t="b">
        <v>1</v>
      </c>
      <c r="J29" s="48"/>
      <c r="K29" s="47" t="s">
        <v>214</v>
      </c>
      <c r="U29" s="12"/>
    </row>
    <row r="30" outlineLevel="1">
      <c r="A30" s="42"/>
      <c r="B30" s="49"/>
      <c r="C30" s="50">
        <f t="shared" si="1"/>
        <v>4</v>
      </c>
      <c r="D30" s="52" t="s">
        <v>217</v>
      </c>
      <c r="E30" s="53" t="s">
        <v>218</v>
      </c>
      <c r="F30" s="55" t="b">
        <v>1</v>
      </c>
      <c r="G30" s="55" t="b">
        <v>1</v>
      </c>
      <c r="H30" s="55" t="b">
        <v>1</v>
      </c>
      <c r="I30" s="55" t="b">
        <v>1</v>
      </c>
      <c r="J30" s="57"/>
      <c r="K30" s="61" t="s">
        <v>219</v>
      </c>
      <c r="U30" s="12"/>
    </row>
    <row r="31" outlineLevel="1">
      <c r="A31" s="42"/>
      <c r="B31" s="86" t="s">
        <v>141</v>
      </c>
      <c r="C31" s="31">
        <f t="shared" si="1"/>
        <v>0</v>
      </c>
      <c r="D31" s="41" t="s">
        <v>226</v>
      </c>
      <c r="E31" s="43" t="s">
        <v>227</v>
      </c>
      <c r="F31" s="72" t="b">
        <v>0</v>
      </c>
      <c r="G31" s="72" t="b">
        <v>0</v>
      </c>
      <c r="H31" s="72" t="b">
        <v>0</v>
      </c>
      <c r="I31" s="72" t="b">
        <v>0</v>
      </c>
      <c r="J31" s="48"/>
      <c r="K31" s="88" t="s">
        <v>228</v>
      </c>
      <c r="U31" s="12"/>
    </row>
    <row r="32" outlineLevel="1">
      <c r="A32" s="42"/>
      <c r="B32" s="42"/>
      <c r="C32" s="31">
        <f t="shared" si="1"/>
        <v>2</v>
      </c>
      <c r="D32" s="41" t="s">
        <v>234</v>
      </c>
      <c r="E32" s="43" t="s">
        <v>235</v>
      </c>
      <c r="F32" s="45" t="b">
        <v>1</v>
      </c>
      <c r="G32" s="72" t="b">
        <v>0</v>
      </c>
      <c r="H32" s="72" t="b">
        <v>0</v>
      </c>
      <c r="I32" s="45" t="b">
        <v>1</v>
      </c>
      <c r="J32" s="48"/>
      <c r="K32" s="48"/>
      <c r="U32" s="12"/>
    </row>
    <row r="33" outlineLevel="1">
      <c r="A33" s="42"/>
      <c r="B33" s="49"/>
      <c r="C33" s="50">
        <f t="shared" si="1"/>
        <v>2</v>
      </c>
      <c r="D33" s="52" t="s">
        <v>238</v>
      </c>
      <c r="E33" s="53" t="s">
        <v>239</v>
      </c>
      <c r="F33" s="55" t="b">
        <v>1</v>
      </c>
      <c r="G33" s="55" t="b">
        <v>1</v>
      </c>
      <c r="H33" s="70" t="b">
        <v>0</v>
      </c>
      <c r="I33" s="70" t="b">
        <v>0</v>
      </c>
      <c r="J33" s="57"/>
      <c r="K33" s="46" t="s">
        <v>241</v>
      </c>
      <c r="U33" s="12"/>
    </row>
    <row r="34" outlineLevel="1">
      <c r="A34" s="49"/>
      <c r="B34" s="90" t="s">
        <v>156</v>
      </c>
      <c r="C34" s="31">
        <f t="shared" si="1"/>
        <v>0</v>
      </c>
      <c r="D34" s="52" t="s">
        <v>251</v>
      </c>
      <c r="E34" s="53" t="s">
        <v>252</v>
      </c>
      <c r="F34" s="55" t="b">
        <v>0</v>
      </c>
      <c r="G34" s="55" t="b">
        <v>0</v>
      </c>
      <c r="H34" s="55" t="b">
        <v>0</v>
      </c>
      <c r="I34" s="55" t="b">
        <v>0</v>
      </c>
      <c r="J34" s="61"/>
      <c r="K34" s="46" t="s">
        <v>171</v>
      </c>
      <c r="U34" s="12"/>
    </row>
    <row r="35">
      <c r="A35" s="91"/>
      <c r="B35" s="91"/>
      <c r="C35" s="91"/>
      <c r="D35" s="91"/>
      <c r="E35" s="91"/>
      <c r="F35" s="91"/>
      <c r="G35" s="91"/>
      <c r="H35" s="91"/>
      <c r="I35" s="91"/>
      <c r="J35" s="91"/>
      <c r="K35" s="91"/>
      <c r="U35" s="12"/>
    </row>
    <row r="36" ht="74.25" customHeight="1" outlineLevel="1">
      <c r="A36" s="93" t="s">
        <v>2</v>
      </c>
      <c r="C36" s="94" t="s">
        <v>257</v>
      </c>
      <c r="D36" s="8">
        <f>countif(L39:L68,TRUE)</f>
        <v>13</v>
      </c>
      <c r="E36" s="95" t="s">
        <v>262</v>
      </c>
      <c r="F36" s="94" t="s">
        <v>263</v>
      </c>
      <c r="H36" s="97">
        <f>IFERROR(__xludf.DUMMYFUNCTION("COUNTUNIQUE(D5:D34)"),30.0)</f>
        <v>30</v>
      </c>
      <c r="I36" s="98" t="s">
        <v>264</v>
      </c>
      <c r="J36" s="99"/>
      <c r="K36" s="99">
        <f>H36/3</f>
        <v>10</v>
      </c>
      <c r="L36" s="100"/>
      <c r="M36" s="100"/>
      <c r="N36" s="100"/>
      <c r="O36" s="100"/>
      <c r="P36" s="100"/>
      <c r="Q36" s="100"/>
      <c r="R36" s="100"/>
      <c r="S36" s="100"/>
      <c r="T36" s="100"/>
      <c r="U36" s="102"/>
    </row>
    <row r="37">
      <c r="A37" s="103" t="s">
        <v>272</v>
      </c>
      <c r="B37" s="104"/>
      <c r="C37" s="105">
        <v>3.0</v>
      </c>
      <c r="D37" s="3"/>
      <c r="E37" s="106" t="s">
        <v>274</v>
      </c>
      <c r="F37" s="3"/>
      <c r="G37" s="3"/>
      <c r="H37" s="3"/>
      <c r="I37" s="3"/>
      <c r="J37" s="3"/>
      <c r="K37" s="3"/>
      <c r="U37" s="12"/>
    </row>
    <row r="38">
      <c r="A38" s="107" t="s">
        <v>8</v>
      </c>
      <c r="B38" s="20"/>
      <c r="C38" s="23" t="s">
        <v>10</v>
      </c>
      <c r="D38" s="108" t="s">
        <v>11</v>
      </c>
      <c r="E38" s="26" t="s">
        <v>12</v>
      </c>
      <c r="F38" s="23" t="s">
        <v>13</v>
      </c>
      <c r="G38" s="23" t="s">
        <v>14</v>
      </c>
      <c r="H38" s="23" t="s">
        <v>15</v>
      </c>
      <c r="I38" s="23" t="s">
        <v>16</v>
      </c>
      <c r="J38" s="23"/>
      <c r="K38" s="23" t="s">
        <v>17</v>
      </c>
      <c r="L38" s="25" t="s">
        <v>275</v>
      </c>
      <c r="M38" s="3" t="str">
        <f t="shared" ref="M38:M68" si="3">if($L38=TRUE,C38,"")</f>
        <v/>
      </c>
      <c r="U38" s="12"/>
    </row>
    <row r="39">
      <c r="A39" s="28" t="s">
        <v>18</v>
      </c>
      <c r="B39" s="30" t="s">
        <v>25</v>
      </c>
      <c r="C39" s="31">
        <f t="shared" ref="C39:C68" si="5">countif(F39:I39,TRUE)</f>
        <v>4</v>
      </c>
      <c r="D39" s="3" t="str">
        <f t="shared" ref="D39:I39" si="2">if($C5&gt;$C$37,D5,"")</f>
        <v>RF.2.3</v>
      </c>
      <c r="E39" s="109" t="str">
        <f t="shared" si="2"/>
        <v>Know and apply grade-level phonics and word analysis skills in decoding words</v>
      </c>
      <c r="F39" s="110" t="b">
        <f t="shared" si="2"/>
        <v>1</v>
      </c>
      <c r="G39" s="110" t="b">
        <f t="shared" si="2"/>
        <v>1</v>
      </c>
      <c r="H39" s="110" t="b">
        <f t="shared" si="2"/>
        <v>1</v>
      </c>
      <c r="I39" s="110" t="b">
        <f t="shared" si="2"/>
        <v>1</v>
      </c>
      <c r="J39" s="3"/>
      <c r="K39" s="109" t="str">
        <f t="shared" ref="K39:K68" si="7">if($C5&gt;$C$37,K5,"")</f>
        <v>R-foundational for reading E-reading goes across every area
A- assessments require reading and through istation
L- applied in all subjects</v>
      </c>
      <c r="L39" s="111" t="b">
        <v>1</v>
      </c>
      <c r="M39" s="3">
        <f t="shared" si="3"/>
        <v>4</v>
      </c>
      <c r="N39" s="3" t="str">
        <f t="shared" ref="N39:U39" si="4">if($L39=TRUE,D39,"")</f>
        <v>RF.2.3</v>
      </c>
      <c r="O39" s="3" t="str">
        <f t="shared" si="4"/>
        <v>Know and apply grade-level phonics and word analysis skills in decoding words</v>
      </c>
      <c r="P39" s="3" t="b">
        <f t="shared" si="4"/>
        <v>1</v>
      </c>
      <c r="Q39" s="3" t="b">
        <f t="shared" si="4"/>
        <v>1</v>
      </c>
      <c r="R39" s="3" t="b">
        <f t="shared" si="4"/>
        <v>1</v>
      </c>
      <c r="S39" s="3" t="b">
        <f t="shared" si="4"/>
        <v>1</v>
      </c>
      <c r="T39" s="3" t="str">
        <f t="shared" si="4"/>
        <v/>
      </c>
      <c r="U39" s="112" t="str">
        <f t="shared" si="4"/>
        <v>R-foundational for reading E-reading goes across every area
A- assessments require reading and through istation
L- applied in all subjects</v>
      </c>
    </row>
    <row r="40">
      <c r="A40" s="42"/>
      <c r="B40" s="42"/>
      <c r="C40" s="31">
        <f t="shared" si="5"/>
        <v>4</v>
      </c>
      <c r="D40" s="3" t="str">
        <f t="shared" ref="D40:I40" si="6">if($C6&gt;$C$37,D6,"")</f>
        <v>RF.2.3a</v>
      </c>
      <c r="E40" s="109" t="str">
        <f t="shared" si="6"/>
        <v>Distinguish long and short vowels when reading regularly spelled onesyllable words.</v>
      </c>
      <c r="F40" s="110" t="b">
        <f t="shared" si="6"/>
        <v>1</v>
      </c>
      <c r="G40" s="110" t="b">
        <f t="shared" si="6"/>
        <v>1</v>
      </c>
      <c r="H40" s="110" t="b">
        <f t="shared" si="6"/>
        <v>1</v>
      </c>
      <c r="I40" s="110" t="b">
        <f t="shared" si="6"/>
        <v>1</v>
      </c>
      <c r="J40" s="3"/>
      <c r="K40" s="109" t="str">
        <f t="shared" si="7"/>
        <v>R-foundational for reading E-reading goes across every area
A- assessments require reading and through istation
L- applied in all subjects</v>
      </c>
      <c r="L40" s="111" t="b">
        <v>1</v>
      </c>
      <c r="M40" s="3">
        <f t="shared" si="3"/>
        <v>4</v>
      </c>
      <c r="N40" s="3" t="str">
        <f t="shared" ref="N40:U40" si="8">if($L40=TRUE,D40,"")</f>
        <v>RF.2.3a</v>
      </c>
      <c r="O40" s="3" t="str">
        <f t="shared" si="8"/>
        <v>Distinguish long and short vowels when reading regularly spelled onesyllable words.</v>
      </c>
      <c r="P40" s="3" t="b">
        <f t="shared" si="8"/>
        <v>1</v>
      </c>
      <c r="Q40" s="3" t="b">
        <f t="shared" si="8"/>
        <v>1</v>
      </c>
      <c r="R40" s="3" t="b">
        <f t="shared" si="8"/>
        <v>1</v>
      </c>
      <c r="S40" s="3" t="b">
        <f t="shared" si="8"/>
        <v>1</v>
      </c>
      <c r="T40" s="3" t="str">
        <f t="shared" si="8"/>
        <v/>
      </c>
      <c r="U40" s="112" t="str">
        <f t="shared" si="8"/>
        <v>R-foundational for reading E-reading goes across every area
A- assessments require reading and through istation
L- applied in all subjects</v>
      </c>
    </row>
    <row r="41">
      <c r="A41" s="42"/>
      <c r="B41" s="42"/>
      <c r="C41" s="31">
        <f t="shared" si="5"/>
        <v>4</v>
      </c>
      <c r="D41" s="3" t="str">
        <f t="shared" ref="D41:I41" si="9">if($C7&gt;$C$37,D7,"")</f>
        <v>RF.2.3b</v>
      </c>
      <c r="E41" s="109" t="str">
        <f t="shared" si="9"/>
        <v>Know spelling-sound correspondences for additional common vowel teams.</v>
      </c>
      <c r="F41" s="110" t="b">
        <f t="shared" si="9"/>
        <v>1</v>
      </c>
      <c r="G41" s="110" t="b">
        <f t="shared" si="9"/>
        <v>1</v>
      </c>
      <c r="H41" s="110" t="b">
        <f t="shared" si="9"/>
        <v>1</v>
      </c>
      <c r="I41" s="110" t="b">
        <f t="shared" si="9"/>
        <v>1</v>
      </c>
      <c r="J41" s="3"/>
      <c r="K41" s="109" t="str">
        <f t="shared" si="7"/>
        <v>R-foundational for reading E-reading goes across every area</v>
      </c>
      <c r="L41" s="111" t="b">
        <v>1</v>
      </c>
      <c r="M41" s="3">
        <f t="shared" si="3"/>
        <v>4</v>
      </c>
      <c r="N41" s="3" t="str">
        <f t="shared" ref="N41:U41" si="10">if($L41=TRUE,D41,"")</f>
        <v>RF.2.3b</v>
      </c>
      <c r="O41" s="3" t="str">
        <f t="shared" si="10"/>
        <v>Know spelling-sound correspondences for additional common vowel teams.</v>
      </c>
      <c r="P41" s="3" t="b">
        <f t="shared" si="10"/>
        <v>1</v>
      </c>
      <c r="Q41" s="3" t="b">
        <f t="shared" si="10"/>
        <v>1</v>
      </c>
      <c r="R41" s="3" t="b">
        <f t="shared" si="10"/>
        <v>1</v>
      </c>
      <c r="S41" s="3" t="b">
        <f t="shared" si="10"/>
        <v>1</v>
      </c>
      <c r="T41" s="3" t="str">
        <f t="shared" si="10"/>
        <v/>
      </c>
      <c r="U41" s="112" t="str">
        <f t="shared" si="10"/>
        <v>R-foundational for reading E-reading goes across every area</v>
      </c>
    </row>
    <row r="42">
      <c r="A42" s="42"/>
      <c r="B42" s="42"/>
      <c r="C42" s="31">
        <f t="shared" si="5"/>
        <v>4</v>
      </c>
      <c r="D42" s="3" t="str">
        <f t="shared" ref="D42:I42" si="11">if($C8&gt;$C$37,D8,"")</f>
        <v>RF.2.3c</v>
      </c>
      <c r="E42" s="109" t="str">
        <f t="shared" si="11"/>
        <v>Decode regularly spelled two-syllable words with long vowels.</v>
      </c>
      <c r="F42" s="110" t="b">
        <f t="shared" si="11"/>
        <v>1</v>
      </c>
      <c r="G42" s="110" t="b">
        <f t="shared" si="11"/>
        <v>1</v>
      </c>
      <c r="H42" s="110" t="b">
        <f t="shared" si="11"/>
        <v>1</v>
      </c>
      <c r="I42" s="110" t="b">
        <f t="shared" si="11"/>
        <v>1</v>
      </c>
      <c r="J42" s="3"/>
      <c r="K42" s="109" t="str">
        <f t="shared" si="7"/>
        <v>A- assessments require reading and through istation</v>
      </c>
      <c r="L42" s="111" t="b">
        <v>1</v>
      </c>
      <c r="M42" s="3">
        <f t="shared" si="3"/>
        <v>4</v>
      </c>
      <c r="N42" s="3" t="str">
        <f t="shared" ref="N42:U42" si="12">if($L42=TRUE,D42,"")</f>
        <v>RF.2.3c</v>
      </c>
      <c r="O42" s="3" t="str">
        <f t="shared" si="12"/>
        <v>Decode regularly spelled two-syllable words with long vowels.</v>
      </c>
      <c r="P42" s="3" t="b">
        <f t="shared" si="12"/>
        <v>1</v>
      </c>
      <c r="Q42" s="3" t="b">
        <f t="shared" si="12"/>
        <v>1</v>
      </c>
      <c r="R42" s="3" t="b">
        <f t="shared" si="12"/>
        <v>1</v>
      </c>
      <c r="S42" s="3" t="b">
        <f t="shared" si="12"/>
        <v>1</v>
      </c>
      <c r="T42" s="3" t="str">
        <f t="shared" si="12"/>
        <v/>
      </c>
      <c r="U42" s="112" t="str">
        <f t="shared" si="12"/>
        <v>A- assessments require reading and through istation</v>
      </c>
    </row>
    <row r="43">
      <c r="A43" s="42"/>
      <c r="B43" s="42"/>
      <c r="C43" s="31">
        <f t="shared" si="5"/>
        <v>4</v>
      </c>
      <c r="D43" s="3" t="str">
        <f t="shared" ref="D43:I43" si="13">if($C9&gt;$C$37,D9,"")</f>
        <v>RF.2.3d</v>
      </c>
      <c r="E43" s="109" t="str">
        <f t="shared" si="13"/>
        <v>Decode words with common prefixes and suffixes.</v>
      </c>
      <c r="F43" s="110" t="b">
        <f t="shared" si="13"/>
        <v>1</v>
      </c>
      <c r="G43" s="110" t="b">
        <f t="shared" si="13"/>
        <v>1</v>
      </c>
      <c r="H43" s="110" t="b">
        <f t="shared" si="13"/>
        <v>1</v>
      </c>
      <c r="I43" s="110" t="b">
        <f t="shared" si="13"/>
        <v>1</v>
      </c>
      <c r="J43" s="3"/>
      <c r="K43" s="109" t="str">
        <f t="shared" si="7"/>
        <v>L- applied in all subjects</v>
      </c>
      <c r="L43" s="113" t="b">
        <v>0</v>
      </c>
      <c r="M43" s="3" t="str">
        <f t="shared" si="3"/>
        <v/>
      </c>
      <c r="N43" s="3" t="str">
        <f t="shared" ref="N43:U43" si="14">if($L43=TRUE,D43,"")</f>
        <v/>
      </c>
      <c r="O43" s="3" t="str">
        <f t="shared" si="14"/>
        <v/>
      </c>
      <c r="P43" s="3" t="str">
        <f t="shared" si="14"/>
        <v/>
      </c>
      <c r="Q43" s="3" t="str">
        <f t="shared" si="14"/>
        <v/>
      </c>
      <c r="R43" s="3" t="str">
        <f t="shared" si="14"/>
        <v/>
      </c>
      <c r="S43" s="3" t="str">
        <f t="shared" si="14"/>
        <v/>
      </c>
      <c r="T43" s="3" t="str">
        <f t="shared" si="14"/>
        <v/>
      </c>
      <c r="U43" s="112" t="str">
        <f t="shared" si="14"/>
        <v/>
      </c>
    </row>
    <row r="44">
      <c r="A44" s="42"/>
      <c r="B44" s="42"/>
      <c r="C44" s="31">
        <f t="shared" si="5"/>
        <v>4</v>
      </c>
      <c r="D44" s="3" t="str">
        <f t="shared" ref="D44:I44" si="15">if($C10&gt;$C$37,D10,"")</f>
        <v>RF.2.3e</v>
      </c>
      <c r="E44" s="109" t="str">
        <f t="shared" si="15"/>
        <v>Identify words with inconsistent but common spelling-sound correspondences.</v>
      </c>
      <c r="F44" s="110" t="b">
        <f t="shared" si="15"/>
        <v>1</v>
      </c>
      <c r="G44" s="110" t="b">
        <f t="shared" si="15"/>
        <v>1</v>
      </c>
      <c r="H44" s="110" t="b">
        <f t="shared" si="15"/>
        <v>1</v>
      </c>
      <c r="I44" s="110" t="b">
        <f t="shared" si="15"/>
        <v>1</v>
      </c>
      <c r="J44" s="3"/>
      <c r="K44" s="109" t="str">
        <f t="shared" si="7"/>
        <v>R-foundational for reading E-reading goes across every area
A- assessments require reading and through istation
L- applied in all subjects</v>
      </c>
      <c r="L44" s="113" t="b">
        <v>0</v>
      </c>
      <c r="M44" s="3" t="str">
        <f t="shared" si="3"/>
        <v/>
      </c>
      <c r="N44" s="3" t="str">
        <f t="shared" ref="N44:U44" si="16">if($L44=TRUE,D44,"")</f>
        <v/>
      </c>
      <c r="O44" s="3" t="str">
        <f t="shared" si="16"/>
        <v/>
      </c>
      <c r="P44" s="3" t="str">
        <f t="shared" si="16"/>
        <v/>
      </c>
      <c r="Q44" s="3" t="str">
        <f t="shared" si="16"/>
        <v/>
      </c>
      <c r="R44" s="3" t="str">
        <f t="shared" si="16"/>
        <v/>
      </c>
      <c r="S44" s="3" t="str">
        <f t="shared" si="16"/>
        <v/>
      </c>
      <c r="T44" s="3" t="str">
        <f t="shared" si="16"/>
        <v/>
      </c>
      <c r="U44" s="112" t="str">
        <f t="shared" si="16"/>
        <v/>
      </c>
    </row>
    <row r="45">
      <c r="A45" s="42"/>
      <c r="B45" s="49"/>
      <c r="C45" s="50">
        <f t="shared" si="5"/>
        <v>4</v>
      </c>
      <c r="D45" s="3" t="str">
        <f t="shared" ref="D45:I45" si="17">if($C11&gt;$C$37,D11,"")</f>
        <v>RF.2.3f</v>
      </c>
      <c r="E45" s="109" t="str">
        <f t="shared" si="17"/>
        <v>Recognize and read gradeappropriate irregularly spelled words.</v>
      </c>
      <c r="F45" s="110" t="b">
        <f t="shared" si="17"/>
        <v>1</v>
      </c>
      <c r="G45" s="110" t="b">
        <f t="shared" si="17"/>
        <v>1</v>
      </c>
      <c r="H45" s="110" t="b">
        <f t="shared" si="17"/>
        <v>1</v>
      </c>
      <c r="I45" s="110" t="b">
        <f t="shared" si="17"/>
        <v>1</v>
      </c>
      <c r="J45" s="3"/>
      <c r="K45" s="109" t="str">
        <f t="shared" si="7"/>
        <v>R-foundational for reading E-reading goes across every area
A- assessments require reading and through istation
L- applied in all subjects</v>
      </c>
      <c r="L45" s="113" t="b">
        <v>0</v>
      </c>
      <c r="M45" s="3" t="str">
        <f t="shared" si="3"/>
        <v/>
      </c>
      <c r="N45" s="3" t="str">
        <f t="shared" ref="N45:U45" si="18">if($L45=TRUE,D45,"")</f>
        <v/>
      </c>
      <c r="O45" s="3" t="str">
        <f t="shared" si="18"/>
        <v/>
      </c>
      <c r="P45" s="3" t="str">
        <f t="shared" si="18"/>
        <v/>
      </c>
      <c r="Q45" s="3" t="str">
        <f t="shared" si="18"/>
        <v/>
      </c>
      <c r="R45" s="3" t="str">
        <f t="shared" si="18"/>
        <v/>
      </c>
      <c r="S45" s="3" t="str">
        <f t="shared" si="18"/>
        <v/>
      </c>
      <c r="T45" s="3" t="str">
        <f t="shared" si="18"/>
        <v/>
      </c>
      <c r="U45" s="112" t="str">
        <f t="shared" si="18"/>
        <v/>
      </c>
    </row>
    <row r="46">
      <c r="A46" s="42"/>
      <c r="B46" s="63" t="s">
        <v>66</v>
      </c>
      <c r="C46" s="31">
        <f t="shared" si="5"/>
        <v>4</v>
      </c>
      <c r="D46" s="3" t="str">
        <f t="shared" ref="D46:I46" si="19">if($C12&gt;$C$37,D12,"")</f>
        <v>RF.2.4</v>
      </c>
      <c r="E46" s="109" t="str">
        <f t="shared" si="19"/>
        <v>Read with sufficient accuracy and fluency to support comprehension.</v>
      </c>
      <c r="F46" s="110" t="b">
        <f t="shared" si="19"/>
        <v>1</v>
      </c>
      <c r="G46" s="110" t="b">
        <f t="shared" si="19"/>
        <v>1</v>
      </c>
      <c r="H46" s="110" t="b">
        <f t="shared" si="19"/>
        <v>1</v>
      </c>
      <c r="I46" s="110" t="b">
        <f t="shared" si="19"/>
        <v>1</v>
      </c>
      <c r="J46" s="3"/>
      <c r="K46" s="109" t="str">
        <f t="shared" si="7"/>
        <v>R-foundational for reading E-reading goes across every area
A- assessments require reading and through istation
L- applied in all subjects</v>
      </c>
      <c r="L46" s="113" t="b">
        <v>0</v>
      </c>
      <c r="M46" s="3" t="str">
        <f t="shared" si="3"/>
        <v/>
      </c>
      <c r="N46" s="3" t="str">
        <f t="shared" ref="N46:U46" si="20">if($L46=TRUE,D46,"")</f>
        <v/>
      </c>
      <c r="O46" s="3" t="str">
        <f t="shared" si="20"/>
        <v/>
      </c>
      <c r="P46" s="3" t="str">
        <f t="shared" si="20"/>
        <v/>
      </c>
      <c r="Q46" s="3" t="str">
        <f t="shared" si="20"/>
        <v/>
      </c>
      <c r="R46" s="3" t="str">
        <f t="shared" si="20"/>
        <v/>
      </c>
      <c r="S46" s="3" t="str">
        <f t="shared" si="20"/>
        <v/>
      </c>
      <c r="T46" s="3" t="str">
        <f t="shared" si="20"/>
        <v/>
      </c>
      <c r="U46" s="112" t="str">
        <f t="shared" si="20"/>
        <v/>
      </c>
    </row>
    <row r="47">
      <c r="A47" s="42"/>
      <c r="B47" s="42"/>
      <c r="C47" s="31">
        <f t="shared" si="5"/>
        <v>4</v>
      </c>
      <c r="D47" s="3" t="str">
        <f t="shared" ref="D47:I47" si="21">if($C13&gt;$C$37,D13,"")</f>
        <v>RF.2.4a</v>
      </c>
      <c r="E47" s="109" t="str">
        <f t="shared" si="21"/>
        <v>Read grade-level text with purpose and understanding</v>
      </c>
      <c r="F47" s="110" t="b">
        <f t="shared" si="21"/>
        <v>1</v>
      </c>
      <c r="G47" s="110" t="b">
        <f t="shared" si="21"/>
        <v>1</v>
      </c>
      <c r="H47" s="110" t="b">
        <f t="shared" si="21"/>
        <v>1</v>
      </c>
      <c r="I47" s="110" t="b">
        <f t="shared" si="21"/>
        <v>1</v>
      </c>
      <c r="J47" s="3"/>
      <c r="K47" s="109" t="str">
        <f t="shared" si="7"/>
        <v>R-foundational for reading E-reading goes across every area
A- assessments require reading and through istation
L- applied in all subjects</v>
      </c>
      <c r="L47" s="113" t="b">
        <v>0</v>
      </c>
      <c r="M47" s="3" t="str">
        <f t="shared" si="3"/>
        <v/>
      </c>
      <c r="N47" s="3" t="str">
        <f t="shared" ref="N47:U47" si="22">if($L47=TRUE,D47,"")</f>
        <v/>
      </c>
      <c r="O47" s="3" t="str">
        <f t="shared" si="22"/>
        <v/>
      </c>
      <c r="P47" s="3" t="str">
        <f t="shared" si="22"/>
        <v/>
      </c>
      <c r="Q47" s="3" t="str">
        <f t="shared" si="22"/>
        <v/>
      </c>
      <c r="R47" s="3" t="str">
        <f t="shared" si="22"/>
        <v/>
      </c>
      <c r="S47" s="3" t="str">
        <f t="shared" si="22"/>
        <v/>
      </c>
      <c r="T47" s="3" t="str">
        <f t="shared" si="22"/>
        <v/>
      </c>
      <c r="U47" s="112" t="str">
        <f t="shared" si="22"/>
        <v/>
      </c>
    </row>
    <row r="48">
      <c r="A48" s="42"/>
      <c r="B48" s="42"/>
      <c r="C48" s="31">
        <f t="shared" si="5"/>
        <v>4</v>
      </c>
      <c r="D48" s="3" t="str">
        <f t="shared" ref="D48:I48" si="23">if($C14&gt;$C$37,D14,"")</f>
        <v>RF.2.4b</v>
      </c>
      <c r="E48" s="109" t="str">
        <f t="shared" si="23"/>
        <v>Read grade-level text orally with accuracy, appropriate rate, and expression on successive readings.</v>
      </c>
      <c r="F48" s="110" t="b">
        <f t="shared" si="23"/>
        <v>1</v>
      </c>
      <c r="G48" s="110" t="b">
        <f t="shared" si="23"/>
        <v>1</v>
      </c>
      <c r="H48" s="110" t="b">
        <f t="shared" si="23"/>
        <v>1</v>
      </c>
      <c r="I48" s="110" t="b">
        <f t="shared" si="23"/>
        <v>1</v>
      </c>
      <c r="J48" s="3"/>
      <c r="K48" s="109" t="str">
        <f t="shared" si="7"/>
        <v>R-foundational for reading E-reading goes across every area
A- assessments require reading and through istation
L- applied in all subjects</v>
      </c>
      <c r="L48" s="113" t="b">
        <v>0</v>
      </c>
      <c r="M48" s="3" t="str">
        <f t="shared" si="3"/>
        <v/>
      </c>
      <c r="N48" s="3" t="str">
        <f t="shared" ref="N48:U48" si="24">if($L48=TRUE,D48,"")</f>
        <v/>
      </c>
      <c r="O48" s="3" t="str">
        <f t="shared" si="24"/>
        <v/>
      </c>
      <c r="P48" s="3" t="str">
        <f t="shared" si="24"/>
        <v/>
      </c>
      <c r="Q48" s="3" t="str">
        <f t="shared" si="24"/>
        <v/>
      </c>
      <c r="R48" s="3" t="str">
        <f t="shared" si="24"/>
        <v/>
      </c>
      <c r="S48" s="3" t="str">
        <f t="shared" si="24"/>
        <v/>
      </c>
      <c r="T48" s="3" t="str">
        <f t="shared" si="24"/>
        <v/>
      </c>
      <c r="U48" s="112" t="str">
        <f t="shared" si="24"/>
        <v/>
      </c>
    </row>
    <row r="49">
      <c r="A49" s="49"/>
      <c r="B49" s="49"/>
      <c r="C49" s="50">
        <f t="shared" si="5"/>
        <v>4</v>
      </c>
      <c r="D49" s="3" t="str">
        <f t="shared" ref="D49:I49" si="25">if($C15&gt;$C$37,D15,"")</f>
        <v>RF.2.4c</v>
      </c>
      <c r="E49" s="109" t="str">
        <f t="shared" si="25"/>
        <v>Use context to confirm or self-correct word recognition and understanding, rereading as necessary.</v>
      </c>
      <c r="F49" s="110" t="b">
        <f t="shared" si="25"/>
        <v>1</v>
      </c>
      <c r="G49" s="110" t="b">
        <f t="shared" si="25"/>
        <v>1</v>
      </c>
      <c r="H49" s="110" t="b">
        <f t="shared" si="25"/>
        <v>1</v>
      </c>
      <c r="I49" s="110" t="b">
        <f t="shared" si="25"/>
        <v>1</v>
      </c>
      <c r="J49" s="3"/>
      <c r="K49" s="109" t="str">
        <f t="shared" si="7"/>
        <v>R-foundational for reading E-reading goes across every area
A- assessments require reading and through istation
L- applied in all subjects</v>
      </c>
      <c r="L49" s="113" t="b">
        <v>0</v>
      </c>
      <c r="M49" s="3" t="str">
        <f t="shared" si="3"/>
        <v/>
      </c>
      <c r="N49" s="3" t="str">
        <f t="shared" ref="N49:U49" si="26">if($L49=TRUE,D49,"")</f>
        <v/>
      </c>
      <c r="O49" s="3" t="str">
        <f t="shared" si="26"/>
        <v/>
      </c>
      <c r="P49" s="3" t="str">
        <f t="shared" si="26"/>
        <v/>
      </c>
      <c r="Q49" s="3" t="str">
        <f t="shared" si="26"/>
        <v/>
      </c>
      <c r="R49" s="3" t="str">
        <f t="shared" si="26"/>
        <v/>
      </c>
      <c r="S49" s="3" t="str">
        <f t="shared" si="26"/>
        <v/>
      </c>
      <c r="T49" s="3" t="str">
        <f t="shared" si="26"/>
        <v/>
      </c>
      <c r="U49" s="112" t="str">
        <f t="shared" si="26"/>
        <v/>
      </c>
    </row>
    <row r="50">
      <c r="A50" s="65" t="s">
        <v>102</v>
      </c>
      <c r="B50" s="67" t="s">
        <v>107</v>
      </c>
      <c r="C50" s="31">
        <f t="shared" si="5"/>
        <v>4</v>
      </c>
      <c r="D50" s="3" t="str">
        <f t="shared" ref="D50:I50" si="27">if($C16&gt;$C$37,D16,"")</f>
        <v>RL.2.1</v>
      </c>
      <c r="E50" s="109" t="str">
        <f t="shared" si="27"/>
        <v>Ask and answer such questions as who, what, where, when, why, and how to demonstrate understanding of key details in a text.</v>
      </c>
      <c r="F50" s="110" t="b">
        <f t="shared" si="27"/>
        <v>1</v>
      </c>
      <c r="G50" s="110" t="b">
        <f t="shared" si="27"/>
        <v>1</v>
      </c>
      <c r="H50" s="110" t="b">
        <f t="shared" si="27"/>
        <v>1</v>
      </c>
      <c r="I50" s="110" t="b">
        <f t="shared" si="27"/>
        <v>1</v>
      </c>
      <c r="J50" s="3"/>
      <c r="K50" s="109" t="str">
        <f t="shared" si="7"/>
        <v/>
      </c>
      <c r="L50" s="111" t="b">
        <v>1</v>
      </c>
      <c r="M50" s="3">
        <f t="shared" si="3"/>
        <v>4</v>
      </c>
      <c r="N50" s="3" t="str">
        <f t="shared" ref="N50:U50" si="28">if($L50=TRUE,D50,"")</f>
        <v>RL.2.1</v>
      </c>
      <c r="O50" s="3" t="str">
        <f t="shared" si="28"/>
        <v>Ask and answer such questions as who, what, where, when, why, and how to demonstrate understanding of key details in a text.</v>
      </c>
      <c r="P50" s="3" t="b">
        <f t="shared" si="28"/>
        <v>1</v>
      </c>
      <c r="Q50" s="3" t="b">
        <f t="shared" si="28"/>
        <v>1</v>
      </c>
      <c r="R50" s="3" t="b">
        <f t="shared" si="28"/>
        <v>1</v>
      </c>
      <c r="S50" s="3" t="b">
        <f t="shared" si="28"/>
        <v>1</v>
      </c>
      <c r="T50" s="3" t="str">
        <f t="shared" si="28"/>
        <v/>
      </c>
      <c r="U50" s="112" t="str">
        <f t="shared" si="28"/>
        <v/>
      </c>
    </row>
    <row r="51">
      <c r="A51" s="42"/>
      <c r="B51" s="42"/>
      <c r="C51" s="31">
        <f t="shared" si="5"/>
        <v>4</v>
      </c>
      <c r="D51" s="3" t="str">
        <f t="shared" ref="D51:I51" si="29">if($C17&gt;$C$37,D17,"")</f>
        <v>RL.2.2</v>
      </c>
      <c r="E51" s="109" t="str">
        <f t="shared" si="29"/>
        <v>Recount stories, including fables and folktales from diverse cultures, and determine their central message, lesson, or moral.</v>
      </c>
      <c r="F51" s="110" t="b">
        <f t="shared" si="29"/>
        <v>1</v>
      </c>
      <c r="G51" s="110" t="b">
        <f t="shared" si="29"/>
        <v>1</v>
      </c>
      <c r="H51" s="110" t="b">
        <f t="shared" si="29"/>
        <v>1</v>
      </c>
      <c r="I51" s="110" t="b">
        <f t="shared" si="29"/>
        <v>1</v>
      </c>
      <c r="J51" s="3"/>
      <c r="K51" s="109" t="str">
        <f t="shared" si="7"/>
        <v>Essential for comprehension
&amp; RL.2.3 written as learning targets</v>
      </c>
      <c r="L51" s="111" t="b">
        <v>1</v>
      </c>
      <c r="M51" s="3">
        <f t="shared" si="3"/>
        <v>4</v>
      </c>
      <c r="N51" s="3" t="str">
        <f t="shared" ref="N51:U51" si="30">if($L51=TRUE,D51,"")</f>
        <v>RL.2.2</v>
      </c>
      <c r="O51" s="3" t="str">
        <f t="shared" si="30"/>
        <v>Recount stories, including fables and folktales from diverse cultures, and determine their central message, lesson, or moral.</v>
      </c>
      <c r="P51" s="3" t="b">
        <f t="shared" si="30"/>
        <v>1</v>
      </c>
      <c r="Q51" s="3" t="b">
        <f t="shared" si="30"/>
        <v>1</v>
      </c>
      <c r="R51" s="3" t="b">
        <f t="shared" si="30"/>
        <v>1</v>
      </c>
      <c r="S51" s="3" t="b">
        <f t="shared" si="30"/>
        <v>1</v>
      </c>
      <c r="T51" s="3" t="str">
        <f t="shared" si="30"/>
        <v/>
      </c>
      <c r="U51" s="112" t="str">
        <f t="shared" si="30"/>
        <v>Essential for comprehension
&amp; RL.2.3 written as learning targets</v>
      </c>
    </row>
    <row r="52">
      <c r="A52" s="42"/>
      <c r="B52" s="49"/>
      <c r="C52" s="50">
        <f t="shared" si="5"/>
        <v>0</v>
      </c>
      <c r="D52" s="3" t="str">
        <f t="shared" ref="D52:I52" si="31">if($C18&gt;$C$37,D18,"")</f>
        <v/>
      </c>
      <c r="E52" s="109" t="str">
        <f t="shared" si="31"/>
        <v/>
      </c>
      <c r="F52" s="110" t="str">
        <f t="shared" si="31"/>
        <v/>
      </c>
      <c r="G52" s="110" t="str">
        <f t="shared" si="31"/>
        <v/>
      </c>
      <c r="H52" s="110" t="str">
        <f t="shared" si="31"/>
        <v/>
      </c>
      <c r="I52" s="110" t="str">
        <f t="shared" si="31"/>
        <v/>
      </c>
      <c r="J52" s="3"/>
      <c r="K52" s="109" t="str">
        <f t="shared" si="7"/>
        <v/>
      </c>
      <c r="L52" s="111" t="b">
        <v>1</v>
      </c>
      <c r="M52" s="3">
        <f t="shared" si="3"/>
        <v>0</v>
      </c>
      <c r="N52" s="3" t="str">
        <f t="shared" ref="N52:U52" si="32">if($L52=TRUE,D52,"")</f>
        <v/>
      </c>
      <c r="O52" s="3" t="str">
        <f t="shared" si="32"/>
        <v/>
      </c>
      <c r="P52" s="3" t="str">
        <f t="shared" si="32"/>
        <v/>
      </c>
      <c r="Q52" s="3" t="str">
        <f t="shared" si="32"/>
        <v/>
      </c>
      <c r="R52" s="3" t="str">
        <f t="shared" si="32"/>
        <v/>
      </c>
      <c r="S52" s="3" t="str">
        <f t="shared" si="32"/>
        <v/>
      </c>
      <c r="T52" s="3" t="str">
        <f t="shared" si="32"/>
        <v/>
      </c>
      <c r="U52" s="112" t="str">
        <f t="shared" si="32"/>
        <v/>
      </c>
    </row>
    <row r="53">
      <c r="A53" s="42"/>
      <c r="B53" s="71" t="s">
        <v>123</v>
      </c>
      <c r="C53" s="31">
        <f t="shared" si="5"/>
        <v>0</v>
      </c>
      <c r="D53" s="3" t="str">
        <f t="shared" ref="D53:I53" si="33">if($C19&gt;$C$37,D19,"")</f>
        <v/>
      </c>
      <c r="E53" s="109" t="str">
        <f t="shared" si="33"/>
        <v/>
      </c>
      <c r="F53" s="110" t="str">
        <f t="shared" si="33"/>
        <v/>
      </c>
      <c r="G53" s="110" t="str">
        <f t="shared" si="33"/>
        <v/>
      </c>
      <c r="H53" s="110" t="str">
        <f t="shared" si="33"/>
        <v/>
      </c>
      <c r="I53" s="110" t="str">
        <f t="shared" si="33"/>
        <v/>
      </c>
      <c r="J53" s="3"/>
      <c r="K53" s="109" t="str">
        <f t="shared" si="7"/>
        <v/>
      </c>
      <c r="L53" s="111" t="b">
        <v>1</v>
      </c>
      <c r="M53" s="3">
        <f t="shared" si="3"/>
        <v>0</v>
      </c>
      <c r="N53" s="3" t="str">
        <f t="shared" ref="N53:U53" si="34">if($L53=TRUE,D53,"")</f>
        <v/>
      </c>
      <c r="O53" s="3" t="str">
        <f t="shared" si="34"/>
        <v/>
      </c>
      <c r="P53" s="3" t="str">
        <f t="shared" si="34"/>
        <v/>
      </c>
      <c r="Q53" s="3" t="str">
        <f t="shared" si="34"/>
        <v/>
      </c>
      <c r="R53" s="3" t="str">
        <f t="shared" si="34"/>
        <v/>
      </c>
      <c r="S53" s="3" t="str">
        <f t="shared" si="34"/>
        <v/>
      </c>
      <c r="T53" s="3" t="str">
        <f t="shared" si="34"/>
        <v/>
      </c>
      <c r="U53" s="112" t="str">
        <f t="shared" si="34"/>
        <v/>
      </c>
    </row>
    <row r="54">
      <c r="A54" s="42"/>
      <c r="B54" s="42"/>
      <c r="C54" s="31">
        <f t="shared" si="5"/>
        <v>4</v>
      </c>
      <c r="D54" s="3" t="str">
        <f t="shared" ref="D54:I54" si="35">if($C20&gt;$C$37,D20,"")</f>
        <v>RL.2.5</v>
      </c>
      <c r="E54" s="109" t="str">
        <f t="shared" si="35"/>
        <v>Describe the overall structure of a story, including describing how the beginning introduces the story and the ending concludes the action</v>
      </c>
      <c r="F54" s="110" t="b">
        <f t="shared" si="35"/>
        <v>1</v>
      </c>
      <c r="G54" s="110" t="b">
        <f t="shared" si="35"/>
        <v>1</v>
      </c>
      <c r="H54" s="110" t="b">
        <f t="shared" si="35"/>
        <v>1</v>
      </c>
      <c r="I54" s="110" t="b">
        <f t="shared" si="35"/>
        <v>1</v>
      </c>
      <c r="J54" s="3"/>
      <c r="K54" s="109" t="str">
        <f t="shared" si="7"/>
        <v/>
      </c>
      <c r="L54" s="113" t="b">
        <v>0</v>
      </c>
      <c r="M54" s="3" t="str">
        <f t="shared" si="3"/>
        <v/>
      </c>
      <c r="N54" s="3" t="str">
        <f t="shared" ref="N54:U54" si="36">if($L54=TRUE,D54,"")</f>
        <v/>
      </c>
      <c r="O54" s="3" t="str">
        <f t="shared" si="36"/>
        <v/>
      </c>
      <c r="P54" s="3" t="str">
        <f t="shared" si="36"/>
        <v/>
      </c>
      <c r="Q54" s="3" t="str">
        <f t="shared" si="36"/>
        <v/>
      </c>
      <c r="R54" s="3" t="str">
        <f t="shared" si="36"/>
        <v/>
      </c>
      <c r="S54" s="3" t="str">
        <f t="shared" si="36"/>
        <v/>
      </c>
      <c r="T54" s="3" t="str">
        <f t="shared" si="36"/>
        <v/>
      </c>
      <c r="U54" s="112" t="str">
        <f t="shared" si="36"/>
        <v/>
      </c>
    </row>
    <row r="55">
      <c r="A55" s="42"/>
      <c r="B55" s="49"/>
      <c r="C55" s="50">
        <f t="shared" si="5"/>
        <v>0</v>
      </c>
      <c r="D55" s="3" t="str">
        <f t="shared" ref="D55:I55" si="37">if($C21&gt;$C$37,D21,"")</f>
        <v/>
      </c>
      <c r="E55" s="109" t="str">
        <f t="shared" si="37"/>
        <v/>
      </c>
      <c r="F55" s="110" t="str">
        <f t="shared" si="37"/>
        <v/>
      </c>
      <c r="G55" s="110" t="str">
        <f t="shared" si="37"/>
        <v/>
      </c>
      <c r="H55" s="110" t="str">
        <f t="shared" si="37"/>
        <v/>
      </c>
      <c r="I55" s="110" t="str">
        <f t="shared" si="37"/>
        <v/>
      </c>
      <c r="J55" s="3"/>
      <c r="K55" s="109" t="str">
        <f t="shared" si="7"/>
        <v/>
      </c>
      <c r="L55" s="113" t="b">
        <v>0</v>
      </c>
      <c r="M55" s="3" t="str">
        <f t="shared" si="3"/>
        <v/>
      </c>
      <c r="N55" s="3" t="str">
        <f t="shared" ref="N55:U55" si="38">if($L55=TRUE,D55,"")</f>
        <v/>
      </c>
      <c r="O55" s="3" t="str">
        <f t="shared" si="38"/>
        <v/>
      </c>
      <c r="P55" s="3" t="str">
        <f t="shared" si="38"/>
        <v/>
      </c>
      <c r="Q55" s="3" t="str">
        <f t="shared" si="38"/>
        <v/>
      </c>
      <c r="R55" s="3" t="str">
        <f t="shared" si="38"/>
        <v/>
      </c>
      <c r="S55" s="3" t="str">
        <f t="shared" si="38"/>
        <v/>
      </c>
      <c r="T55" s="3" t="str">
        <f t="shared" si="38"/>
        <v/>
      </c>
      <c r="U55" s="112" t="str">
        <f t="shared" si="38"/>
        <v/>
      </c>
    </row>
    <row r="56">
      <c r="A56" s="42"/>
      <c r="B56" s="74" t="s">
        <v>141</v>
      </c>
      <c r="C56" s="31">
        <f t="shared" si="5"/>
        <v>0</v>
      </c>
      <c r="D56" s="3" t="str">
        <f t="shared" ref="D56:I56" si="39">if($C22&gt;$C$37,D22,"")</f>
        <v/>
      </c>
      <c r="E56" s="109" t="str">
        <f t="shared" si="39"/>
        <v/>
      </c>
      <c r="F56" s="110" t="str">
        <f t="shared" si="39"/>
        <v/>
      </c>
      <c r="G56" s="110" t="str">
        <f t="shared" si="39"/>
        <v/>
      </c>
      <c r="H56" s="110" t="str">
        <f t="shared" si="39"/>
        <v/>
      </c>
      <c r="I56" s="110" t="str">
        <f t="shared" si="39"/>
        <v/>
      </c>
      <c r="J56" s="3"/>
      <c r="K56" s="109" t="str">
        <f t="shared" si="7"/>
        <v/>
      </c>
      <c r="L56" s="111" t="b">
        <v>1</v>
      </c>
      <c r="M56" s="3">
        <f t="shared" si="3"/>
        <v>0</v>
      </c>
      <c r="N56" s="3" t="str">
        <f t="shared" ref="N56:U56" si="40">if($L56=TRUE,D56,"")</f>
        <v/>
      </c>
      <c r="O56" s="3" t="str">
        <f t="shared" si="40"/>
        <v/>
      </c>
      <c r="P56" s="3" t="str">
        <f t="shared" si="40"/>
        <v/>
      </c>
      <c r="Q56" s="3" t="str">
        <f t="shared" si="40"/>
        <v/>
      </c>
      <c r="R56" s="3" t="str">
        <f t="shared" si="40"/>
        <v/>
      </c>
      <c r="S56" s="3" t="str">
        <f t="shared" si="40"/>
        <v/>
      </c>
      <c r="T56" s="3" t="str">
        <f t="shared" si="40"/>
        <v/>
      </c>
      <c r="U56" s="112" t="str">
        <f t="shared" si="40"/>
        <v/>
      </c>
    </row>
    <row r="57">
      <c r="A57" s="42"/>
      <c r="B57" s="49"/>
      <c r="C57" s="50">
        <f t="shared" si="5"/>
        <v>0</v>
      </c>
      <c r="D57" s="3" t="str">
        <f t="shared" ref="D57:I57" si="41">if($C23&gt;$C$37,D23,"")</f>
        <v/>
      </c>
      <c r="E57" s="109" t="str">
        <f t="shared" si="41"/>
        <v/>
      </c>
      <c r="F57" s="110" t="str">
        <f t="shared" si="41"/>
        <v/>
      </c>
      <c r="G57" s="110" t="str">
        <f t="shared" si="41"/>
        <v/>
      </c>
      <c r="H57" s="110" t="str">
        <f t="shared" si="41"/>
        <v/>
      </c>
      <c r="I57" s="110" t="str">
        <f t="shared" si="41"/>
        <v/>
      </c>
      <c r="J57" s="3"/>
      <c r="K57" s="109" t="str">
        <f t="shared" si="7"/>
        <v/>
      </c>
      <c r="L57" s="113" t="b">
        <v>0</v>
      </c>
      <c r="M57" s="3" t="str">
        <f t="shared" si="3"/>
        <v/>
      </c>
      <c r="N57" s="3" t="str">
        <f t="shared" ref="N57:U57" si="42">if($L57=TRUE,D57,"")</f>
        <v/>
      </c>
      <c r="O57" s="3" t="str">
        <f t="shared" si="42"/>
        <v/>
      </c>
      <c r="P57" s="3" t="str">
        <f t="shared" si="42"/>
        <v/>
      </c>
      <c r="Q57" s="3" t="str">
        <f t="shared" si="42"/>
        <v/>
      </c>
      <c r="R57" s="3" t="str">
        <f t="shared" si="42"/>
        <v/>
      </c>
      <c r="S57" s="3" t="str">
        <f t="shared" si="42"/>
        <v/>
      </c>
      <c r="T57" s="3" t="str">
        <f t="shared" si="42"/>
        <v/>
      </c>
      <c r="U57" s="112" t="str">
        <f t="shared" si="42"/>
        <v/>
      </c>
    </row>
    <row r="58">
      <c r="A58" s="42"/>
      <c r="B58" s="78" t="s">
        <v>156</v>
      </c>
      <c r="C58" s="50">
        <f t="shared" si="5"/>
        <v>0</v>
      </c>
      <c r="D58" s="3" t="str">
        <f t="shared" ref="D58:I58" si="43">if($C24&gt;$C$37,D24,"")</f>
        <v/>
      </c>
      <c r="E58" s="109" t="str">
        <f t="shared" si="43"/>
        <v/>
      </c>
      <c r="F58" s="110" t="str">
        <f t="shared" si="43"/>
        <v/>
      </c>
      <c r="G58" s="110" t="str">
        <f t="shared" si="43"/>
        <v/>
      </c>
      <c r="H58" s="110" t="str">
        <f t="shared" si="43"/>
        <v/>
      </c>
      <c r="I58" s="110" t="str">
        <f t="shared" si="43"/>
        <v/>
      </c>
      <c r="J58" s="3"/>
      <c r="K58" s="109" t="str">
        <f t="shared" si="7"/>
        <v/>
      </c>
      <c r="L58" s="113" t="b">
        <v>0</v>
      </c>
      <c r="M58" s="3" t="str">
        <f t="shared" si="3"/>
        <v/>
      </c>
      <c r="N58" s="3" t="str">
        <f t="shared" ref="N58:U58" si="44">if($L58=TRUE,D58,"")</f>
        <v/>
      </c>
      <c r="O58" s="3" t="str">
        <f t="shared" si="44"/>
        <v/>
      </c>
      <c r="P58" s="3" t="str">
        <f t="shared" si="44"/>
        <v/>
      </c>
      <c r="Q58" s="3" t="str">
        <f t="shared" si="44"/>
        <v/>
      </c>
      <c r="R58" s="3" t="str">
        <f t="shared" si="44"/>
        <v/>
      </c>
      <c r="S58" s="3" t="str">
        <f t="shared" si="44"/>
        <v/>
      </c>
      <c r="T58" s="3" t="str">
        <f t="shared" si="44"/>
        <v/>
      </c>
      <c r="U58" s="112" t="str">
        <f t="shared" si="44"/>
        <v/>
      </c>
    </row>
    <row r="59">
      <c r="A59" s="81" t="s">
        <v>183</v>
      </c>
      <c r="B59" s="79" t="s">
        <v>107</v>
      </c>
      <c r="C59" s="31">
        <f t="shared" si="5"/>
        <v>0</v>
      </c>
      <c r="D59" s="3" t="str">
        <f t="shared" ref="D59:I59" si="45">if($C25&gt;$C$37,D25,"")</f>
        <v/>
      </c>
      <c r="E59" s="109" t="str">
        <f t="shared" si="45"/>
        <v/>
      </c>
      <c r="F59" s="110" t="str">
        <f t="shared" si="45"/>
        <v/>
      </c>
      <c r="G59" s="110" t="str">
        <f t="shared" si="45"/>
        <v/>
      </c>
      <c r="H59" s="110" t="str">
        <f t="shared" si="45"/>
        <v/>
      </c>
      <c r="I59" s="110" t="str">
        <f t="shared" si="45"/>
        <v/>
      </c>
      <c r="J59" s="3"/>
      <c r="K59" s="109" t="str">
        <f t="shared" si="7"/>
        <v/>
      </c>
      <c r="L59" s="111" t="b">
        <v>1</v>
      </c>
      <c r="M59" s="3">
        <f t="shared" si="3"/>
        <v>0</v>
      </c>
      <c r="N59" s="3" t="str">
        <f t="shared" ref="N59:U59" si="46">if($L59=TRUE,D59,"")</f>
        <v/>
      </c>
      <c r="O59" s="3" t="str">
        <f t="shared" si="46"/>
        <v/>
      </c>
      <c r="P59" s="3" t="str">
        <f t="shared" si="46"/>
        <v/>
      </c>
      <c r="Q59" s="3" t="str">
        <f t="shared" si="46"/>
        <v/>
      </c>
      <c r="R59" s="3" t="str">
        <f t="shared" si="46"/>
        <v/>
      </c>
      <c r="S59" s="3" t="str">
        <f t="shared" si="46"/>
        <v/>
      </c>
      <c r="T59" s="3" t="str">
        <f t="shared" si="46"/>
        <v/>
      </c>
      <c r="U59" s="112" t="str">
        <f t="shared" si="46"/>
        <v/>
      </c>
    </row>
    <row r="60">
      <c r="A60" s="42"/>
      <c r="B60" s="42"/>
      <c r="C60" s="31">
        <f t="shared" si="5"/>
        <v>0</v>
      </c>
      <c r="D60" s="3" t="str">
        <f t="shared" ref="D60:I60" si="47">if($C26&gt;$C$37,D26,"")</f>
        <v/>
      </c>
      <c r="E60" s="109" t="str">
        <f t="shared" si="47"/>
        <v/>
      </c>
      <c r="F60" s="110" t="str">
        <f t="shared" si="47"/>
        <v/>
      </c>
      <c r="G60" s="110" t="str">
        <f t="shared" si="47"/>
        <v/>
      </c>
      <c r="H60" s="110" t="str">
        <f t="shared" si="47"/>
        <v/>
      </c>
      <c r="I60" s="110" t="str">
        <f t="shared" si="47"/>
        <v/>
      </c>
      <c r="J60" s="3"/>
      <c r="K60" s="109" t="str">
        <f t="shared" si="7"/>
        <v/>
      </c>
      <c r="L60" s="111" t="b">
        <v>1</v>
      </c>
      <c r="M60" s="3">
        <f t="shared" si="3"/>
        <v>0</v>
      </c>
      <c r="N60" s="3" t="str">
        <f t="shared" ref="N60:U60" si="48">if($L60=TRUE,D60,"")</f>
        <v/>
      </c>
      <c r="O60" s="3" t="str">
        <f t="shared" si="48"/>
        <v/>
      </c>
      <c r="P60" s="3" t="str">
        <f t="shared" si="48"/>
        <v/>
      </c>
      <c r="Q60" s="3" t="str">
        <f t="shared" si="48"/>
        <v/>
      </c>
      <c r="R60" s="3" t="str">
        <f t="shared" si="48"/>
        <v/>
      </c>
      <c r="S60" s="3" t="str">
        <f t="shared" si="48"/>
        <v/>
      </c>
      <c r="T60" s="3" t="str">
        <f t="shared" si="48"/>
        <v/>
      </c>
      <c r="U60" s="112" t="str">
        <f t="shared" si="48"/>
        <v/>
      </c>
    </row>
    <row r="61">
      <c r="A61" s="42"/>
      <c r="B61" s="49"/>
      <c r="C61" s="50">
        <f t="shared" si="5"/>
        <v>0</v>
      </c>
      <c r="D61" s="3" t="str">
        <f t="shared" ref="D61:I61" si="49">if($C27&gt;$C$37,D27,"")</f>
        <v/>
      </c>
      <c r="E61" s="109" t="str">
        <f t="shared" si="49"/>
        <v/>
      </c>
      <c r="F61" s="110" t="str">
        <f t="shared" si="49"/>
        <v/>
      </c>
      <c r="G61" s="110" t="str">
        <f t="shared" si="49"/>
        <v/>
      </c>
      <c r="H61" s="110" t="str">
        <f t="shared" si="49"/>
        <v/>
      </c>
      <c r="I61" s="110" t="str">
        <f t="shared" si="49"/>
        <v/>
      </c>
      <c r="J61" s="3"/>
      <c r="K61" s="109" t="str">
        <f t="shared" si="7"/>
        <v/>
      </c>
      <c r="L61" s="111" t="b">
        <v>1</v>
      </c>
      <c r="M61" s="3">
        <f t="shared" si="3"/>
        <v>0</v>
      </c>
      <c r="N61" s="3" t="str">
        <f t="shared" ref="N61:U61" si="50">if($L61=TRUE,D61,"")</f>
        <v/>
      </c>
      <c r="O61" s="3" t="str">
        <f t="shared" si="50"/>
        <v/>
      </c>
      <c r="P61" s="3" t="str">
        <f t="shared" si="50"/>
        <v/>
      </c>
      <c r="Q61" s="3" t="str">
        <f t="shared" si="50"/>
        <v/>
      </c>
      <c r="R61" s="3" t="str">
        <f t="shared" si="50"/>
        <v/>
      </c>
      <c r="S61" s="3" t="str">
        <f t="shared" si="50"/>
        <v/>
      </c>
      <c r="T61" s="3" t="str">
        <f t="shared" si="50"/>
        <v/>
      </c>
      <c r="U61" s="112" t="str">
        <f t="shared" si="50"/>
        <v/>
      </c>
    </row>
    <row r="62">
      <c r="A62" s="42"/>
      <c r="B62" s="83" t="s">
        <v>123</v>
      </c>
      <c r="C62" s="31">
        <f t="shared" si="5"/>
        <v>4</v>
      </c>
      <c r="D62" s="3" t="str">
        <f t="shared" ref="D62:I62" si="51">if($C28&gt;$C$37,D28,"")</f>
        <v>RI.2.4</v>
      </c>
      <c r="E62" s="109" t="str">
        <f t="shared" si="51"/>
        <v>Determine the meaning of words and phrases in a text relevant to a grade 2 topic or subject area.</v>
      </c>
      <c r="F62" s="110" t="b">
        <f t="shared" si="51"/>
        <v>1</v>
      </c>
      <c r="G62" s="110" t="b">
        <f t="shared" si="51"/>
        <v>1</v>
      </c>
      <c r="H62" s="110" t="b">
        <f t="shared" si="51"/>
        <v>1</v>
      </c>
      <c r="I62" s="110" t="b">
        <f t="shared" si="51"/>
        <v>1</v>
      </c>
      <c r="J62" s="3"/>
      <c r="K62" s="109" t="str">
        <f t="shared" si="7"/>
        <v>Vocabulary/Context clues</v>
      </c>
      <c r="L62" s="111" t="b">
        <v>1</v>
      </c>
      <c r="M62" s="3">
        <f t="shared" si="3"/>
        <v>4</v>
      </c>
      <c r="N62" s="3" t="str">
        <f t="shared" ref="N62:U62" si="52">if($L62=TRUE,D62,"")</f>
        <v>RI.2.4</v>
      </c>
      <c r="O62" s="3" t="str">
        <f t="shared" si="52"/>
        <v>Determine the meaning of words and phrases in a text relevant to a grade 2 topic or subject area.</v>
      </c>
      <c r="P62" s="3" t="b">
        <f t="shared" si="52"/>
        <v>1</v>
      </c>
      <c r="Q62" s="3" t="b">
        <f t="shared" si="52"/>
        <v>1</v>
      </c>
      <c r="R62" s="3" t="b">
        <f t="shared" si="52"/>
        <v>1</v>
      </c>
      <c r="S62" s="3" t="b">
        <f t="shared" si="52"/>
        <v>1</v>
      </c>
      <c r="T62" s="3" t="str">
        <f t="shared" si="52"/>
        <v/>
      </c>
      <c r="U62" s="112" t="str">
        <f t="shared" si="52"/>
        <v>Vocabulary/Context clues</v>
      </c>
    </row>
    <row r="63">
      <c r="A63" s="42"/>
      <c r="B63" s="42"/>
      <c r="C63" s="31">
        <f t="shared" si="5"/>
        <v>4</v>
      </c>
      <c r="D63" s="3" t="str">
        <f t="shared" ref="D63:I63" si="53">if($C29&gt;$C$37,D29,"")</f>
        <v>RI.2.5</v>
      </c>
      <c r="E63" s="109" t="str">
        <f t="shared" si="53"/>
        <v>Know and use various text features (e.g., captions, bold print, subheadings, glossaries, indexes, electronic menus, icons) to locate key facts or information in a text efficiently.</v>
      </c>
      <c r="F63" s="110" t="b">
        <f t="shared" si="53"/>
        <v>1</v>
      </c>
      <c r="G63" s="110" t="b">
        <f t="shared" si="53"/>
        <v>1</v>
      </c>
      <c r="H63" s="110" t="b">
        <f t="shared" si="53"/>
        <v>1</v>
      </c>
      <c r="I63" s="110" t="b">
        <f t="shared" si="53"/>
        <v>1</v>
      </c>
      <c r="J63" s="3"/>
      <c r="K63" s="109" t="str">
        <f t="shared" si="7"/>
        <v>Essential in 1st, new text features introduced </v>
      </c>
      <c r="L63" s="113" t="b">
        <v>0</v>
      </c>
      <c r="M63" s="3" t="str">
        <f t="shared" si="3"/>
        <v/>
      </c>
      <c r="N63" s="3" t="str">
        <f t="shared" ref="N63:U63" si="54">if($L63=TRUE,D63,"")</f>
        <v/>
      </c>
      <c r="O63" s="3" t="str">
        <f t="shared" si="54"/>
        <v/>
      </c>
      <c r="P63" s="3" t="str">
        <f t="shared" si="54"/>
        <v/>
      </c>
      <c r="Q63" s="3" t="str">
        <f t="shared" si="54"/>
        <v/>
      </c>
      <c r="R63" s="3" t="str">
        <f t="shared" si="54"/>
        <v/>
      </c>
      <c r="S63" s="3" t="str">
        <f t="shared" si="54"/>
        <v/>
      </c>
      <c r="T63" s="3" t="str">
        <f t="shared" si="54"/>
        <v/>
      </c>
      <c r="U63" s="112" t="str">
        <f t="shared" si="54"/>
        <v/>
      </c>
    </row>
    <row r="64">
      <c r="A64" s="42"/>
      <c r="B64" s="49"/>
      <c r="C64" s="50">
        <f t="shared" si="5"/>
        <v>4</v>
      </c>
      <c r="D64" s="3" t="str">
        <f t="shared" ref="D64:I64" si="55">if($C30&gt;$C$37,D30,"")</f>
        <v>RI.2.6</v>
      </c>
      <c r="E64" s="109" t="str">
        <f t="shared" si="55"/>
        <v>Identify the main purpose of a text, including what the author wants to answer, explain, or describe.</v>
      </c>
      <c r="F64" s="110" t="b">
        <f t="shared" si="55"/>
        <v>1</v>
      </c>
      <c r="G64" s="110" t="b">
        <f t="shared" si="55"/>
        <v>1</v>
      </c>
      <c r="H64" s="110" t="b">
        <f t="shared" si="55"/>
        <v>1</v>
      </c>
      <c r="I64" s="110" t="b">
        <f t="shared" si="55"/>
        <v>1</v>
      </c>
      <c r="J64" s="3"/>
      <c r="K64" s="109" t="str">
        <f t="shared" si="7"/>
        <v>Essential overall (Informational "umbrella standard")
Essential for understanding nonfiction text
RL.2.1 &amp; RL.2.2 written as learning target</v>
      </c>
      <c r="L64" s="113" t="b">
        <v>0</v>
      </c>
      <c r="M64" s="3" t="str">
        <f t="shared" si="3"/>
        <v/>
      </c>
      <c r="N64" s="3" t="str">
        <f t="shared" ref="N64:U64" si="56">if($L64=TRUE,D64,"")</f>
        <v/>
      </c>
      <c r="O64" s="3" t="str">
        <f t="shared" si="56"/>
        <v/>
      </c>
      <c r="P64" s="3" t="str">
        <f t="shared" si="56"/>
        <v/>
      </c>
      <c r="Q64" s="3" t="str">
        <f t="shared" si="56"/>
        <v/>
      </c>
      <c r="R64" s="3" t="str">
        <f t="shared" si="56"/>
        <v/>
      </c>
      <c r="S64" s="3" t="str">
        <f t="shared" si="56"/>
        <v/>
      </c>
      <c r="T64" s="3" t="str">
        <f t="shared" si="56"/>
        <v/>
      </c>
      <c r="U64" s="112" t="str">
        <f t="shared" si="56"/>
        <v/>
      </c>
    </row>
    <row r="65">
      <c r="A65" s="42"/>
      <c r="B65" s="86" t="s">
        <v>141</v>
      </c>
      <c r="C65" s="31">
        <f t="shared" si="5"/>
        <v>0</v>
      </c>
      <c r="D65" s="3" t="str">
        <f t="shared" ref="D65:I65" si="57">if($C31&gt;$C$37,D31,"")</f>
        <v/>
      </c>
      <c r="E65" s="109" t="str">
        <f t="shared" si="57"/>
        <v/>
      </c>
      <c r="F65" s="110" t="str">
        <f t="shared" si="57"/>
        <v/>
      </c>
      <c r="G65" s="110" t="str">
        <f t="shared" si="57"/>
        <v/>
      </c>
      <c r="H65" s="110" t="str">
        <f t="shared" si="57"/>
        <v/>
      </c>
      <c r="I65" s="110" t="str">
        <f t="shared" si="57"/>
        <v/>
      </c>
      <c r="J65" s="3"/>
      <c r="K65" s="109" t="str">
        <f t="shared" si="7"/>
        <v/>
      </c>
      <c r="L65" s="113" t="b">
        <v>0</v>
      </c>
      <c r="M65" s="3" t="str">
        <f t="shared" si="3"/>
        <v/>
      </c>
      <c r="N65" s="3" t="str">
        <f t="shared" ref="N65:U65" si="58">if($L65=TRUE,D65,"")</f>
        <v/>
      </c>
      <c r="O65" s="3" t="str">
        <f t="shared" si="58"/>
        <v/>
      </c>
      <c r="P65" s="3" t="str">
        <f t="shared" si="58"/>
        <v/>
      </c>
      <c r="Q65" s="3" t="str">
        <f t="shared" si="58"/>
        <v/>
      </c>
      <c r="R65" s="3" t="str">
        <f t="shared" si="58"/>
        <v/>
      </c>
      <c r="S65" s="3" t="str">
        <f t="shared" si="58"/>
        <v/>
      </c>
      <c r="T65" s="3" t="str">
        <f t="shared" si="58"/>
        <v/>
      </c>
      <c r="U65" s="112" t="str">
        <f t="shared" si="58"/>
        <v/>
      </c>
    </row>
    <row r="66">
      <c r="A66" s="42"/>
      <c r="B66" s="42"/>
      <c r="C66" s="31">
        <f t="shared" si="5"/>
        <v>0</v>
      </c>
      <c r="D66" s="3" t="str">
        <f t="shared" ref="D66:I66" si="59">if($C32&gt;$C$37,D32,"")</f>
        <v/>
      </c>
      <c r="E66" s="109" t="str">
        <f t="shared" si="59"/>
        <v/>
      </c>
      <c r="F66" s="110" t="str">
        <f t="shared" si="59"/>
        <v/>
      </c>
      <c r="G66" s="110" t="str">
        <f t="shared" si="59"/>
        <v/>
      </c>
      <c r="H66" s="110" t="str">
        <f t="shared" si="59"/>
        <v/>
      </c>
      <c r="I66" s="110" t="str">
        <f t="shared" si="59"/>
        <v/>
      </c>
      <c r="J66" s="3"/>
      <c r="K66" s="109" t="str">
        <f t="shared" si="7"/>
        <v/>
      </c>
      <c r="L66" s="113" t="b">
        <v>0</v>
      </c>
      <c r="M66" s="3" t="str">
        <f t="shared" si="3"/>
        <v/>
      </c>
      <c r="N66" s="3" t="str">
        <f t="shared" ref="N66:U66" si="60">if($L66=TRUE,D66,"")</f>
        <v/>
      </c>
      <c r="O66" s="3" t="str">
        <f t="shared" si="60"/>
        <v/>
      </c>
      <c r="P66" s="3" t="str">
        <f t="shared" si="60"/>
        <v/>
      </c>
      <c r="Q66" s="3" t="str">
        <f t="shared" si="60"/>
        <v/>
      </c>
      <c r="R66" s="3" t="str">
        <f t="shared" si="60"/>
        <v/>
      </c>
      <c r="S66" s="3" t="str">
        <f t="shared" si="60"/>
        <v/>
      </c>
      <c r="T66" s="3" t="str">
        <f t="shared" si="60"/>
        <v/>
      </c>
      <c r="U66" s="112" t="str">
        <f t="shared" si="60"/>
        <v/>
      </c>
    </row>
    <row r="67">
      <c r="A67" s="42"/>
      <c r="B67" s="49"/>
      <c r="C67" s="50">
        <f t="shared" si="5"/>
        <v>0</v>
      </c>
      <c r="D67" s="3" t="str">
        <f t="shared" ref="D67:I67" si="61">if($C33&gt;$C$37,D33,"")</f>
        <v/>
      </c>
      <c r="E67" s="109" t="str">
        <f t="shared" si="61"/>
        <v/>
      </c>
      <c r="F67" s="110" t="str">
        <f t="shared" si="61"/>
        <v/>
      </c>
      <c r="G67" s="110" t="str">
        <f t="shared" si="61"/>
        <v/>
      </c>
      <c r="H67" s="110" t="str">
        <f t="shared" si="61"/>
        <v/>
      </c>
      <c r="I67" s="110" t="str">
        <f t="shared" si="61"/>
        <v/>
      </c>
      <c r="J67" s="3"/>
      <c r="K67" s="109" t="str">
        <f t="shared" si="7"/>
        <v/>
      </c>
      <c r="L67" s="113" t="b">
        <v>0</v>
      </c>
      <c r="M67" s="3" t="str">
        <f t="shared" si="3"/>
        <v/>
      </c>
      <c r="N67" s="3" t="str">
        <f t="shared" ref="N67:U67" si="62">if($L67=TRUE,D67,"")</f>
        <v/>
      </c>
      <c r="O67" s="3" t="str">
        <f t="shared" si="62"/>
        <v/>
      </c>
      <c r="P67" s="3" t="str">
        <f t="shared" si="62"/>
        <v/>
      </c>
      <c r="Q67" s="3" t="str">
        <f t="shared" si="62"/>
        <v/>
      </c>
      <c r="R67" s="3" t="str">
        <f t="shared" si="62"/>
        <v/>
      </c>
      <c r="S67" s="3" t="str">
        <f t="shared" si="62"/>
        <v/>
      </c>
      <c r="T67" s="3" t="str">
        <f t="shared" si="62"/>
        <v/>
      </c>
      <c r="U67" s="112" t="str">
        <f t="shared" si="62"/>
        <v/>
      </c>
    </row>
    <row r="68">
      <c r="A68" s="49"/>
      <c r="B68" s="90" t="s">
        <v>156</v>
      </c>
      <c r="C68" s="31">
        <f t="shared" si="5"/>
        <v>0</v>
      </c>
      <c r="D68" s="3" t="str">
        <f t="shared" ref="D68:I68" si="63">if($C34&gt;$C$37,D34,"")</f>
        <v/>
      </c>
      <c r="E68" s="109" t="str">
        <f t="shared" si="63"/>
        <v/>
      </c>
      <c r="F68" s="110" t="str">
        <f t="shared" si="63"/>
        <v/>
      </c>
      <c r="G68" s="110" t="str">
        <f t="shared" si="63"/>
        <v/>
      </c>
      <c r="H68" s="110" t="str">
        <f t="shared" si="63"/>
        <v/>
      </c>
      <c r="I68" s="110" t="str">
        <f t="shared" si="63"/>
        <v/>
      </c>
      <c r="J68" s="3"/>
      <c r="K68" s="109" t="str">
        <f t="shared" si="7"/>
        <v/>
      </c>
      <c r="L68" s="111" t="b">
        <v>0</v>
      </c>
      <c r="M68" s="3" t="str">
        <f t="shared" si="3"/>
        <v/>
      </c>
      <c r="N68" s="3" t="str">
        <f t="shared" ref="N68:U68" si="64">if($L68=TRUE,D68,"")</f>
        <v/>
      </c>
      <c r="O68" s="3" t="str">
        <f t="shared" si="64"/>
        <v/>
      </c>
      <c r="P68" s="3" t="str">
        <f t="shared" si="64"/>
        <v/>
      </c>
      <c r="Q68" s="3" t="str">
        <f t="shared" si="64"/>
        <v/>
      </c>
      <c r="R68" s="3" t="str">
        <f t="shared" si="64"/>
        <v/>
      </c>
      <c r="S68" s="3" t="str">
        <f t="shared" si="64"/>
        <v/>
      </c>
      <c r="T68" s="3" t="str">
        <f t="shared" si="64"/>
        <v/>
      </c>
      <c r="U68" s="112" t="str">
        <f t="shared" si="64"/>
        <v/>
      </c>
    </row>
  </sheetData>
  <mergeCells count="30">
    <mergeCell ref="B12:B15"/>
    <mergeCell ref="B16:B18"/>
    <mergeCell ref="A2:B2"/>
    <mergeCell ref="C2:K2"/>
    <mergeCell ref="A3:K3"/>
    <mergeCell ref="A4:B4"/>
    <mergeCell ref="A5:A15"/>
    <mergeCell ref="B5:B11"/>
    <mergeCell ref="A16:A25"/>
    <mergeCell ref="B19:B21"/>
    <mergeCell ref="B22:B23"/>
    <mergeCell ref="B25:B27"/>
    <mergeCell ref="A26:A34"/>
    <mergeCell ref="B28:B30"/>
    <mergeCell ref="B31:B33"/>
    <mergeCell ref="F36:G36"/>
    <mergeCell ref="B50:B52"/>
    <mergeCell ref="B53:B55"/>
    <mergeCell ref="B59:B61"/>
    <mergeCell ref="B62:B64"/>
    <mergeCell ref="B65:B67"/>
    <mergeCell ref="A50:A58"/>
    <mergeCell ref="A59:A68"/>
    <mergeCell ref="A36:B36"/>
    <mergeCell ref="A37:B37"/>
    <mergeCell ref="A38:B38"/>
    <mergeCell ref="A39:A49"/>
    <mergeCell ref="B39:B45"/>
    <mergeCell ref="B46:B49"/>
    <mergeCell ref="B56:B57"/>
  </mergeCells>
  <conditionalFormatting sqref="F39:I68">
    <cfRule type="cellIs" dxfId="0" priority="1" operator="equal">
      <formula>"TRUE"</formula>
    </cfRule>
  </conditionalFormatting>
  <conditionalFormatting sqref="F39:I68">
    <cfRule type="cellIs" dxfId="1" priority="2" operator="equal">
      <formula>"FALSE"</formula>
    </cfRule>
  </conditionalFormatting>
  <conditionalFormatting sqref="D36">
    <cfRule type="expression" dxfId="2" priority="3">
      <formula>D36&gt;K36</formula>
    </cfRule>
  </conditionalFormatting>
  <conditionalFormatting sqref="D36">
    <cfRule type="expression" dxfId="3" priority="4">
      <formula>D36&lt;=K36</formula>
    </cfRule>
  </conditionalFormatting>
  <conditionalFormatting sqref="C5:C34 C39:C68">
    <cfRule type="cellIs" dxfId="4" priority="5" operator="equal">
      <formula>0</formula>
    </cfRule>
  </conditionalFormatting>
  <conditionalFormatting sqref="C5:C34 C39:C68">
    <cfRule type="cellIs" dxfId="5" priority="6" operator="equal">
      <formula>1</formula>
    </cfRule>
  </conditionalFormatting>
  <conditionalFormatting sqref="C5:C34 C39:C68">
    <cfRule type="cellIs" dxfId="6" priority="7" operator="equal">
      <formula>2</formula>
    </cfRule>
  </conditionalFormatting>
  <conditionalFormatting sqref="C5:C34 C39:C68">
    <cfRule type="cellIs" dxfId="7" priority="8" operator="equal">
      <formula>3</formula>
    </cfRule>
  </conditionalFormatting>
  <conditionalFormatting sqref="C5:C34 C39:C68">
    <cfRule type="cellIs" dxfId="8" priority="9" operator="equal">
      <formula>4</formula>
    </cfRule>
  </conditionalFormatting>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6D7A8"/>
    <outlinePr summaryBelow="0" summaryRight="0"/>
  </sheetPr>
  <sheetViews>
    <sheetView workbookViewId="0"/>
  </sheetViews>
  <sheetFormatPr customHeight="1" defaultColWidth="14.43" defaultRowHeight="15.75" outlineLevelCol="1" outlineLevelRow="1"/>
  <cols>
    <col customWidth="1" min="1" max="1" width="5.14"/>
    <col customWidth="1" min="2" max="2" width="15.86"/>
    <col customWidth="1" min="3" max="3" width="5.14"/>
    <col customWidth="1" min="4" max="4" width="10.86"/>
    <col customWidth="1" min="5" max="5" width="57.29"/>
    <col customWidth="1" min="6" max="9" width="3.0"/>
    <col customWidth="1" min="10" max="10" width="0.86"/>
    <col customWidth="1" min="11" max="11" width="43.0"/>
    <col collapsed="1" customWidth="1" min="12" max="12" width="8.29"/>
    <col hidden="1" min="13" max="21" width="14.43" outlineLevel="1"/>
  </cols>
  <sheetData>
    <row r="1" ht="7.5" customHeight="1">
      <c r="B1" s="2"/>
      <c r="C1" s="4"/>
      <c r="D1" s="4"/>
      <c r="E1" s="4"/>
      <c r="F1" s="4"/>
      <c r="G1" s="4"/>
      <c r="H1" s="4"/>
      <c r="I1" s="4"/>
      <c r="J1" s="4"/>
      <c r="K1" s="4"/>
      <c r="U1" s="12"/>
    </row>
    <row r="2" ht="42.75" customHeight="1" outlineLevel="1">
      <c r="A2" s="6" t="s">
        <v>2</v>
      </c>
      <c r="C2" s="8" t="s">
        <v>4</v>
      </c>
      <c r="U2" s="12"/>
    </row>
    <row r="3">
      <c r="A3" s="10" t="s">
        <v>276</v>
      </c>
      <c r="B3" s="11"/>
      <c r="C3" s="11"/>
      <c r="D3" s="11"/>
      <c r="E3" s="11"/>
      <c r="F3" s="11"/>
      <c r="G3" s="11"/>
      <c r="H3" s="11"/>
      <c r="I3" s="11"/>
      <c r="J3" s="11"/>
      <c r="K3" s="13"/>
      <c r="U3" s="12"/>
    </row>
    <row r="4" outlineLevel="1">
      <c r="A4" s="33" t="s">
        <v>8</v>
      </c>
      <c r="B4" s="20"/>
      <c r="C4" s="35" t="s">
        <v>10</v>
      </c>
      <c r="D4" s="37" t="s">
        <v>11</v>
      </c>
      <c r="E4" s="39" t="s">
        <v>12</v>
      </c>
      <c r="F4" s="35" t="s">
        <v>13</v>
      </c>
      <c r="G4" s="35" t="s">
        <v>14</v>
      </c>
      <c r="H4" s="35" t="s">
        <v>15</v>
      </c>
      <c r="I4" s="35" t="s">
        <v>16</v>
      </c>
      <c r="J4" s="35"/>
      <c r="K4" s="35" t="s">
        <v>17</v>
      </c>
      <c r="U4" s="12"/>
    </row>
    <row r="5" outlineLevel="1">
      <c r="A5" s="27" t="s">
        <v>18</v>
      </c>
      <c r="B5" s="30" t="s">
        <v>25</v>
      </c>
      <c r="C5" s="31">
        <f t="shared" ref="C5:C32" si="1">countif(F5:I5,TRUE)</f>
        <v>3</v>
      </c>
      <c r="D5" s="41" t="s">
        <v>277</v>
      </c>
      <c r="E5" s="43" t="s">
        <v>76</v>
      </c>
      <c r="F5" s="45" t="b">
        <v>1</v>
      </c>
      <c r="G5" s="45" t="b">
        <v>1</v>
      </c>
      <c r="H5" s="72" t="b">
        <v>0</v>
      </c>
      <c r="I5" s="45" t="b">
        <v>1</v>
      </c>
      <c r="J5" s="47"/>
      <c r="K5" s="47" t="s">
        <v>278</v>
      </c>
      <c r="U5" s="12"/>
    </row>
    <row r="6" outlineLevel="1">
      <c r="A6" s="42"/>
      <c r="B6" s="42"/>
      <c r="C6" s="31">
        <f t="shared" si="1"/>
        <v>3</v>
      </c>
      <c r="D6" s="41" t="s">
        <v>279</v>
      </c>
      <c r="E6" s="43" t="s">
        <v>280</v>
      </c>
      <c r="F6" s="45" t="b">
        <v>1</v>
      </c>
      <c r="G6" s="45" t="b">
        <v>1</v>
      </c>
      <c r="H6" s="72" t="b">
        <v>0</v>
      </c>
      <c r="I6" s="45" t="b">
        <v>1</v>
      </c>
      <c r="J6" s="48"/>
      <c r="K6" s="47" t="s">
        <v>281</v>
      </c>
      <c r="U6" s="12"/>
    </row>
    <row r="7" outlineLevel="1">
      <c r="A7" s="42"/>
      <c r="B7" s="42"/>
      <c r="C7" s="31">
        <f t="shared" si="1"/>
        <v>1</v>
      </c>
      <c r="D7" s="41" t="s">
        <v>282</v>
      </c>
      <c r="E7" s="43" t="s">
        <v>283</v>
      </c>
      <c r="F7" s="45" t="b">
        <v>1</v>
      </c>
      <c r="G7" s="45" t="b">
        <v>0</v>
      </c>
      <c r="H7" s="45" t="b">
        <v>0</v>
      </c>
      <c r="I7" s="72" t="b">
        <v>0</v>
      </c>
      <c r="J7" s="48"/>
      <c r="K7" s="47" t="s">
        <v>284</v>
      </c>
      <c r="U7" s="12"/>
    </row>
    <row r="8" outlineLevel="1">
      <c r="A8" s="42"/>
      <c r="B8" s="42"/>
      <c r="C8" s="31">
        <f t="shared" si="1"/>
        <v>3</v>
      </c>
      <c r="D8" s="41" t="s">
        <v>285</v>
      </c>
      <c r="E8" s="43" t="s">
        <v>286</v>
      </c>
      <c r="F8" s="45" t="b">
        <v>1</v>
      </c>
      <c r="G8" s="45" t="b">
        <v>1</v>
      </c>
      <c r="H8" s="45" t="b">
        <v>0</v>
      </c>
      <c r="I8" s="45" t="b">
        <v>1</v>
      </c>
      <c r="J8" s="48"/>
      <c r="K8" s="47" t="s">
        <v>281</v>
      </c>
      <c r="U8" s="12"/>
    </row>
    <row r="9" outlineLevel="1">
      <c r="A9" s="42"/>
      <c r="B9" s="49"/>
      <c r="C9" s="50">
        <f t="shared" si="1"/>
        <v>1</v>
      </c>
      <c r="D9" s="52" t="s">
        <v>287</v>
      </c>
      <c r="E9" s="53" t="s">
        <v>288</v>
      </c>
      <c r="F9" s="55" t="b">
        <v>1</v>
      </c>
      <c r="G9" s="70" t="b">
        <v>0</v>
      </c>
      <c r="H9" s="70" t="b">
        <v>0</v>
      </c>
      <c r="I9" s="70" t="b">
        <v>0</v>
      </c>
      <c r="J9" s="57"/>
      <c r="K9" s="61" t="s">
        <v>284</v>
      </c>
      <c r="U9" s="12"/>
    </row>
    <row r="10" outlineLevel="1">
      <c r="A10" s="42"/>
      <c r="B10" s="63" t="s">
        <v>66</v>
      </c>
      <c r="C10" s="31">
        <f t="shared" si="1"/>
        <v>3</v>
      </c>
      <c r="D10" s="114" t="s">
        <v>289</v>
      </c>
      <c r="E10" s="43" t="s">
        <v>291</v>
      </c>
      <c r="F10" s="45" t="b">
        <v>1</v>
      </c>
      <c r="G10" s="45" t="b">
        <v>1</v>
      </c>
      <c r="H10" s="72" t="b">
        <v>0</v>
      </c>
      <c r="I10" s="45" t="b">
        <v>1</v>
      </c>
      <c r="J10" s="48"/>
      <c r="K10" s="47" t="s">
        <v>292</v>
      </c>
      <c r="U10" s="12"/>
    </row>
    <row r="11" outlineLevel="1">
      <c r="A11" s="42"/>
      <c r="B11" s="42"/>
      <c r="C11" s="31">
        <f t="shared" si="1"/>
        <v>4</v>
      </c>
      <c r="D11" s="114" t="s">
        <v>293</v>
      </c>
      <c r="E11" s="43" t="s">
        <v>128</v>
      </c>
      <c r="F11" s="45" t="b">
        <v>1</v>
      </c>
      <c r="G11" s="45" t="b">
        <v>1</v>
      </c>
      <c r="H11" s="45" t="b">
        <v>1</v>
      </c>
      <c r="I11" s="45" t="b">
        <v>1</v>
      </c>
      <c r="J11" s="48"/>
      <c r="K11" s="47" t="s">
        <v>294</v>
      </c>
      <c r="U11" s="12"/>
    </row>
    <row r="12" outlineLevel="1">
      <c r="A12" s="42"/>
      <c r="B12" s="42"/>
      <c r="C12" s="31">
        <f t="shared" si="1"/>
        <v>0</v>
      </c>
      <c r="D12" s="114" t="s">
        <v>296</v>
      </c>
      <c r="E12" s="43" t="s">
        <v>297</v>
      </c>
      <c r="F12" s="72" t="b">
        <v>0</v>
      </c>
      <c r="G12" s="72" t="b">
        <v>0</v>
      </c>
      <c r="H12" s="72" t="b">
        <v>0</v>
      </c>
      <c r="I12" s="72" t="b">
        <v>0</v>
      </c>
      <c r="J12" s="48"/>
      <c r="K12" s="48"/>
      <c r="U12" s="12"/>
    </row>
    <row r="13" outlineLevel="1">
      <c r="A13" s="49"/>
      <c r="B13" s="49"/>
      <c r="C13" s="50">
        <f t="shared" si="1"/>
        <v>3</v>
      </c>
      <c r="D13" s="116" t="s">
        <v>299</v>
      </c>
      <c r="E13" s="53" t="s">
        <v>99</v>
      </c>
      <c r="F13" s="55" t="b">
        <v>1</v>
      </c>
      <c r="G13" s="55" t="b">
        <v>1</v>
      </c>
      <c r="H13" s="70" t="b">
        <v>0</v>
      </c>
      <c r="I13" s="55" t="b">
        <v>1</v>
      </c>
      <c r="J13" s="57"/>
      <c r="K13" s="61" t="s">
        <v>300</v>
      </c>
      <c r="U13" s="12"/>
    </row>
    <row r="14" outlineLevel="1">
      <c r="A14" s="75" t="s">
        <v>102</v>
      </c>
      <c r="B14" s="67" t="s">
        <v>107</v>
      </c>
      <c r="C14" s="31">
        <f t="shared" si="1"/>
        <v>4</v>
      </c>
      <c r="D14" s="41" t="s">
        <v>301</v>
      </c>
      <c r="E14" s="43" t="s">
        <v>302</v>
      </c>
      <c r="F14" s="45" t="b">
        <v>1</v>
      </c>
      <c r="G14" s="45" t="b">
        <v>1</v>
      </c>
      <c r="H14" s="45" t="b">
        <v>1</v>
      </c>
      <c r="I14" s="45" t="b">
        <v>1</v>
      </c>
      <c r="J14" s="48"/>
      <c r="K14" s="47" t="s">
        <v>303</v>
      </c>
      <c r="U14" s="12"/>
    </row>
    <row r="15" outlineLevel="1">
      <c r="A15" s="42"/>
      <c r="B15" s="42"/>
      <c r="C15" s="31">
        <f t="shared" si="1"/>
        <v>3</v>
      </c>
      <c r="D15" s="41" t="s">
        <v>304</v>
      </c>
      <c r="E15" s="43" t="s">
        <v>305</v>
      </c>
      <c r="F15" s="45" t="b">
        <v>1</v>
      </c>
      <c r="G15" s="45" t="b">
        <v>1</v>
      </c>
      <c r="H15" s="45" t="b">
        <v>1</v>
      </c>
      <c r="I15" s="72" t="b">
        <v>0</v>
      </c>
      <c r="J15" s="48"/>
      <c r="K15" s="47" t="s">
        <v>306</v>
      </c>
      <c r="U15" s="12"/>
    </row>
    <row r="16" outlineLevel="1">
      <c r="A16" s="42"/>
      <c r="B16" s="49"/>
      <c r="C16" s="50">
        <f t="shared" si="1"/>
        <v>4</v>
      </c>
      <c r="D16" s="52" t="s">
        <v>307</v>
      </c>
      <c r="E16" s="53" t="s">
        <v>308</v>
      </c>
      <c r="F16" s="55" t="b">
        <v>1</v>
      </c>
      <c r="G16" s="55" t="b">
        <v>1</v>
      </c>
      <c r="H16" s="55" t="b">
        <v>1</v>
      </c>
      <c r="I16" s="55" t="b">
        <v>1</v>
      </c>
      <c r="J16" s="57"/>
      <c r="K16" s="47" t="s">
        <v>309</v>
      </c>
      <c r="U16" s="12"/>
    </row>
    <row r="17" outlineLevel="1">
      <c r="A17" s="42"/>
      <c r="B17" s="71" t="s">
        <v>123</v>
      </c>
      <c r="C17" s="31">
        <f t="shared" si="1"/>
        <v>4</v>
      </c>
      <c r="D17" s="41" t="s">
        <v>310</v>
      </c>
      <c r="E17" s="43" t="s">
        <v>311</v>
      </c>
      <c r="F17" s="45" t="b">
        <v>1</v>
      </c>
      <c r="G17" s="45" t="b">
        <v>1</v>
      </c>
      <c r="H17" s="45" t="b">
        <v>1</v>
      </c>
      <c r="I17" s="45" t="b">
        <v>1</v>
      </c>
      <c r="J17" s="48"/>
      <c r="K17" s="47" t="s">
        <v>313</v>
      </c>
      <c r="U17" s="12"/>
    </row>
    <row r="18" outlineLevel="1">
      <c r="A18" s="42"/>
      <c r="B18" s="42"/>
      <c r="C18" s="31">
        <f t="shared" si="1"/>
        <v>2</v>
      </c>
      <c r="D18" s="41" t="s">
        <v>314</v>
      </c>
      <c r="E18" s="43" t="s">
        <v>315</v>
      </c>
      <c r="F18" s="45" t="b">
        <v>1</v>
      </c>
      <c r="G18" s="45" t="b">
        <v>1</v>
      </c>
      <c r="H18" s="72" t="b">
        <v>0</v>
      </c>
      <c r="I18" s="72" t="b">
        <v>0</v>
      </c>
      <c r="J18" s="48"/>
      <c r="K18" s="48"/>
      <c r="U18" s="12"/>
    </row>
    <row r="19" outlineLevel="1">
      <c r="A19" s="42"/>
      <c r="B19" s="49"/>
      <c r="C19" s="50">
        <f t="shared" si="1"/>
        <v>3</v>
      </c>
      <c r="D19" s="52" t="s">
        <v>316</v>
      </c>
      <c r="E19" s="53" t="s">
        <v>317</v>
      </c>
      <c r="F19" s="55" t="b">
        <v>1</v>
      </c>
      <c r="G19" s="55" t="b">
        <v>1</v>
      </c>
      <c r="H19" s="55" t="b">
        <v>1</v>
      </c>
      <c r="I19" s="70" t="b">
        <v>0</v>
      </c>
      <c r="J19" s="57"/>
      <c r="K19" s="61" t="s">
        <v>318</v>
      </c>
      <c r="U19" s="12"/>
    </row>
    <row r="20" outlineLevel="1">
      <c r="A20" s="42"/>
      <c r="B20" s="74" t="s">
        <v>141</v>
      </c>
      <c r="C20" s="31">
        <f t="shared" si="1"/>
        <v>1</v>
      </c>
      <c r="D20" s="41" t="s">
        <v>319</v>
      </c>
      <c r="E20" s="43" t="s">
        <v>320</v>
      </c>
      <c r="F20" s="45" t="b">
        <v>1</v>
      </c>
      <c r="G20" s="72" t="b">
        <v>0</v>
      </c>
      <c r="H20" s="72" t="b">
        <v>0</v>
      </c>
      <c r="I20" s="72" t="b">
        <v>0</v>
      </c>
      <c r="J20" s="48"/>
      <c r="K20" s="47" t="s">
        <v>322</v>
      </c>
      <c r="U20" s="12"/>
    </row>
    <row r="21" outlineLevel="1">
      <c r="A21" s="42"/>
      <c r="B21" s="49"/>
      <c r="C21" s="50">
        <f t="shared" si="1"/>
        <v>1</v>
      </c>
      <c r="D21" s="52" t="s">
        <v>324</v>
      </c>
      <c r="E21" s="53" t="s">
        <v>325</v>
      </c>
      <c r="F21" s="55" t="b">
        <v>1</v>
      </c>
      <c r="G21" s="70" t="b">
        <v>0</v>
      </c>
      <c r="H21" s="70" t="b">
        <v>0</v>
      </c>
      <c r="I21" s="70" t="b">
        <v>0</v>
      </c>
      <c r="J21" s="57"/>
      <c r="K21" s="61" t="s">
        <v>322</v>
      </c>
      <c r="U21" s="12"/>
    </row>
    <row r="22" outlineLevel="1">
      <c r="A22" s="42"/>
      <c r="B22" s="78" t="s">
        <v>156</v>
      </c>
      <c r="C22" s="50">
        <f t="shared" si="1"/>
        <v>4</v>
      </c>
      <c r="D22" s="52" t="s">
        <v>327</v>
      </c>
      <c r="E22" s="53" t="s">
        <v>328</v>
      </c>
      <c r="F22" s="55" t="b">
        <v>1</v>
      </c>
      <c r="G22" s="55" t="b">
        <v>1</v>
      </c>
      <c r="H22" s="55" t="b">
        <v>1</v>
      </c>
      <c r="I22" s="55" t="b">
        <v>1</v>
      </c>
      <c r="J22" s="57"/>
      <c r="K22" s="47" t="s">
        <v>332</v>
      </c>
      <c r="U22" s="12"/>
    </row>
    <row r="23" outlineLevel="1">
      <c r="A23" s="49"/>
      <c r="B23" s="79" t="s">
        <v>107</v>
      </c>
      <c r="C23" s="31">
        <f t="shared" si="1"/>
        <v>4</v>
      </c>
      <c r="D23" s="41" t="s">
        <v>334</v>
      </c>
      <c r="E23" s="43" t="s">
        <v>335</v>
      </c>
      <c r="F23" s="45" t="b">
        <v>1</v>
      </c>
      <c r="G23" s="45" t="b">
        <v>1</v>
      </c>
      <c r="H23" s="45" t="b">
        <v>1</v>
      </c>
      <c r="I23" s="45" t="b">
        <v>1</v>
      </c>
      <c r="J23" s="48"/>
      <c r="K23" s="47"/>
      <c r="U23" s="12"/>
    </row>
    <row r="24" outlineLevel="1">
      <c r="A24" s="87" t="s">
        <v>183</v>
      </c>
      <c r="B24" s="42"/>
      <c r="C24" s="31">
        <f t="shared" si="1"/>
        <v>4</v>
      </c>
      <c r="D24" s="41" t="s">
        <v>336</v>
      </c>
      <c r="E24" s="125" t="s">
        <v>337</v>
      </c>
      <c r="F24" s="45" t="b">
        <v>1</v>
      </c>
      <c r="G24" s="45" t="b">
        <v>1</v>
      </c>
      <c r="H24" s="45" t="b">
        <v>1</v>
      </c>
      <c r="I24" s="45" t="b">
        <v>1</v>
      </c>
      <c r="J24" s="48"/>
      <c r="K24" s="47"/>
      <c r="U24" s="12"/>
    </row>
    <row r="25" outlineLevel="1">
      <c r="A25" s="42"/>
      <c r="B25" s="49"/>
      <c r="C25" s="31">
        <f t="shared" si="1"/>
        <v>4</v>
      </c>
      <c r="D25" s="52" t="s">
        <v>341</v>
      </c>
      <c r="E25" s="53" t="s">
        <v>342</v>
      </c>
      <c r="F25" s="55" t="b">
        <v>1</v>
      </c>
      <c r="G25" s="55" t="b">
        <v>1</v>
      </c>
      <c r="H25" s="55" t="b">
        <v>1</v>
      </c>
      <c r="I25" s="55" t="b">
        <v>1</v>
      </c>
      <c r="J25" s="57"/>
      <c r="K25" s="47" t="s">
        <v>343</v>
      </c>
      <c r="U25" s="12"/>
    </row>
    <row r="26" outlineLevel="1">
      <c r="A26" s="42"/>
      <c r="B26" s="83" t="s">
        <v>123</v>
      </c>
      <c r="C26" s="31">
        <f t="shared" si="1"/>
        <v>4</v>
      </c>
      <c r="D26" s="41" t="s">
        <v>346</v>
      </c>
      <c r="E26" s="43" t="s">
        <v>347</v>
      </c>
      <c r="F26" s="45" t="b">
        <v>1</v>
      </c>
      <c r="G26" s="45" t="b">
        <v>1</v>
      </c>
      <c r="H26" s="45" t="b">
        <v>1</v>
      </c>
      <c r="I26" s="45" t="b">
        <v>1</v>
      </c>
      <c r="J26" s="48"/>
      <c r="K26" s="47"/>
      <c r="U26" s="12"/>
    </row>
    <row r="27" outlineLevel="1">
      <c r="A27" s="42"/>
      <c r="B27" s="42"/>
      <c r="C27" s="31">
        <f t="shared" si="1"/>
        <v>4</v>
      </c>
      <c r="D27" s="41" t="s">
        <v>351</v>
      </c>
      <c r="E27" s="43" t="s">
        <v>352</v>
      </c>
      <c r="F27" s="45" t="b">
        <v>1</v>
      </c>
      <c r="G27" s="45" t="b">
        <v>1</v>
      </c>
      <c r="H27" s="45" t="b">
        <v>1</v>
      </c>
      <c r="I27" s="45" t="b">
        <v>1</v>
      </c>
      <c r="J27" s="48"/>
      <c r="K27" s="47" t="s">
        <v>353</v>
      </c>
      <c r="U27" s="12"/>
    </row>
    <row r="28" outlineLevel="1">
      <c r="A28" s="42"/>
      <c r="B28" s="49"/>
      <c r="C28" s="50">
        <f t="shared" si="1"/>
        <v>1</v>
      </c>
      <c r="D28" s="52" t="s">
        <v>354</v>
      </c>
      <c r="E28" s="53" t="s">
        <v>355</v>
      </c>
      <c r="F28" s="70" t="b">
        <v>0</v>
      </c>
      <c r="G28" s="55" t="b">
        <v>1</v>
      </c>
      <c r="H28" s="70" t="b">
        <v>0</v>
      </c>
      <c r="I28" s="70" t="b">
        <v>0</v>
      </c>
      <c r="J28" s="57"/>
      <c r="K28" s="61" t="s">
        <v>356</v>
      </c>
      <c r="U28" s="12"/>
    </row>
    <row r="29" outlineLevel="1">
      <c r="A29" s="42"/>
      <c r="B29" s="86" t="s">
        <v>141</v>
      </c>
      <c r="C29" s="31">
        <f t="shared" si="1"/>
        <v>4</v>
      </c>
      <c r="D29" s="41" t="s">
        <v>358</v>
      </c>
      <c r="E29" s="43" t="s">
        <v>359</v>
      </c>
      <c r="F29" s="45" t="b">
        <v>1</v>
      </c>
      <c r="G29" s="45" t="b">
        <v>1</v>
      </c>
      <c r="H29" s="45" t="b">
        <v>1</v>
      </c>
      <c r="I29" s="45" t="b">
        <v>1</v>
      </c>
      <c r="J29" s="48"/>
      <c r="K29" s="48"/>
      <c r="U29" s="12"/>
    </row>
    <row r="30" outlineLevel="1">
      <c r="A30" s="42"/>
      <c r="B30" s="42"/>
      <c r="C30" s="31">
        <f t="shared" si="1"/>
        <v>2</v>
      </c>
      <c r="D30" s="41" t="s">
        <v>360</v>
      </c>
      <c r="E30" s="43" t="s">
        <v>361</v>
      </c>
      <c r="F30" s="45" t="b">
        <v>1</v>
      </c>
      <c r="G30" s="72" t="b">
        <v>0</v>
      </c>
      <c r="H30" s="72" t="b">
        <v>0</v>
      </c>
      <c r="I30" s="45" t="b">
        <v>1</v>
      </c>
      <c r="J30" s="48"/>
      <c r="K30" s="47"/>
      <c r="U30" s="12"/>
    </row>
    <row r="31" outlineLevel="1">
      <c r="A31" s="42"/>
      <c r="B31" s="49"/>
      <c r="C31" s="50">
        <f t="shared" si="1"/>
        <v>4</v>
      </c>
      <c r="D31" s="52" t="s">
        <v>362</v>
      </c>
      <c r="E31" s="53" t="s">
        <v>363</v>
      </c>
      <c r="F31" s="55" t="b">
        <v>1</v>
      </c>
      <c r="G31" s="55" t="b">
        <v>1</v>
      </c>
      <c r="H31" s="55" t="b">
        <v>1</v>
      </c>
      <c r="I31" s="55" t="b">
        <v>1</v>
      </c>
      <c r="J31" s="57"/>
      <c r="K31" s="57"/>
      <c r="U31" s="12"/>
    </row>
    <row r="32" outlineLevel="1">
      <c r="A32" s="49"/>
      <c r="B32" s="90" t="s">
        <v>156</v>
      </c>
      <c r="C32" s="31">
        <f t="shared" si="1"/>
        <v>4</v>
      </c>
      <c r="D32" s="52" t="s">
        <v>365</v>
      </c>
      <c r="E32" s="53" t="s">
        <v>366</v>
      </c>
      <c r="F32" s="55" t="b">
        <v>1</v>
      </c>
      <c r="G32" s="55" t="b">
        <v>1</v>
      </c>
      <c r="H32" s="55" t="b">
        <v>1</v>
      </c>
      <c r="I32" s="55" t="b">
        <v>1</v>
      </c>
      <c r="J32" s="61"/>
      <c r="K32" s="47" t="s">
        <v>369</v>
      </c>
      <c r="U32" s="12"/>
    </row>
    <row r="33">
      <c r="A33" s="91"/>
      <c r="B33" s="91"/>
      <c r="C33" s="91"/>
      <c r="D33" s="91"/>
      <c r="E33" s="91"/>
      <c r="F33" s="91"/>
      <c r="G33" s="91"/>
      <c r="H33" s="91"/>
      <c r="I33" s="91"/>
      <c r="J33" s="91"/>
      <c r="K33" s="91"/>
      <c r="U33" s="12"/>
    </row>
    <row r="34" ht="75.0" customHeight="1" outlineLevel="1">
      <c r="A34" s="93" t="s">
        <v>2</v>
      </c>
      <c r="C34" s="94" t="s">
        <v>257</v>
      </c>
      <c r="D34" s="8">
        <f>countif(L37:L64,TRUE)</f>
        <v>10</v>
      </c>
      <c r="E34" s="95" t="s">
        <v>262</v>
      </c>
      <c r="F34" s="94" t="s">
        <v>263</v>
      </c>
      <c r="H34" s="97">
        <f>IFERROR(__xludf.DUMMYFUNCTION("COUNTUNIQUE(D5:D32)"),28.0)</f>
        <v>28</v>
      </c>
      <c r="I34" s="98" t="s">
        <v>264</v>
      </c>
      <c r="J34" s="99"/>
      <c r="K34" s="99">
        <f>H34/3</f>
        <v>9.333333333</v>
      </c>
      <c r="L34" s="100"/>
      <c r="M34" s="100"/>
      <c r="N34" s="100"/>
      <c r="O34" s="100"/>
      <c r="P34" s="100"/>
      <c r="Q34" s="100"/>
      <c r="R34" s="100"/>
      <c r="S34" s="100"/>
      <c r="T34" s="100"/>
      <c r="U34" s="102"/>
    </row>
    <row r="35">
      <c r="A35" s="103" t="s">
        <v>272</v>
      </c>
      <c r="B35" s="104"/>
      <c r="C35" s="105">
        <v>2.0</v>
      </c>
      <c r="D35" s="3"/>
      <c r="E35" s="106" t="s">
        <v>274</v>
      </c>
      <c r="F35" s="3"/>
      <c r="G35" s="3"/>
      <c r="H35" s="3"/>
      <c r="I35" s="3"/>
      <c r="J35" s="3"/>
      <c r="K35" s="3"/>
      <c r="U35" s="12"/>
    </row>
    <row r="36">
      <c r="A36" s="107" t="s">
        <v>8</v>
      </c>
      <c r="B36" s="20"/>
      <c r="C36" s="23" t="s">
        <v>10</v>
      </c>
      <c r="D36" s="108" t="s">
        <v>11</v>
      </c>
      <c r="E36" s="26" t="s">
        <v>12</v>
      </c>
      <c r="F36" s="23" t="s">
        <v>13</v>
      </c>
      <c r="G36" s="23" t="s">
        <v>14</v>
      </c>
      <c r="H36" s="23" t="s">
        <v>15</v>
      </c>
      <c r="I36" s="23" t="s">
        <v>16</v>
      </c>
      <c r="J36" s="23"/>
      <c r="K36" s="23" t="s">
        <v>17</v>
      </c>
      <c r="L36" s="25" t="s">
        <v>275</v>
      </c>
      <c r="U36" s="12"/>
    </row>
    <row r="37">
      <c r="A37" s="27" t="s">
        <v>18</v>
      </c>
      <c r="B37" s="30" t="s">
        <v>25</v>
      </c>
      <c r="C37" s="31">
        <f t="shared" ref="C37:C64" si="4">countif(F37:I37,TRUE)</f>
        <v>3</v>
      </c>
      <c r="D37" s="3" t="str">
        <f t="shared" ref="D37:I37" si="2">if($C5&gt;$C$35,D5,"")</f>
        <v>RF.3.3</v>
      </c>
      <c r="E37" s="109" t="str">
        <f t="shared" si="2"/>
        <v>Know and apply grade-level phonics and word analysis skills in decoding words.</v>
      </c>
      <c r="F37" s="110" t="b">
        <f t="shared" si="2"/>
        <v>1</v>
      </c>
      <c r="G37" s="110" t="b">
        <f t="shared" si="2"/>
        <v>1</v>
      </c>
      <c r="H37" s="110" t="b">
        <f t="shared" si="2"/>
        <v>0</v>
      </c>
      <c r="I37" s="110" t="b">
        <f t="shared" si="2"/>
        <v>1</v>
      </c>
      <c r="J37" s="3"/>
      <c r="K37" s="109" t="str">
        <f t="shared" ref="K37:K64" si="6">if($C5&gt;$C$35,K5,"")</f>
        <v>R - Applied going forward
E - Throughout the year
L - Decoding
</v>
      </c>
      <c r="L37" s="111" t="b">
        <v>0</v>
      </c>
      <c r="M37" s="3" t="str">
        <f t="shared" ref="M37:U37" si="3">if($L37=TRUE,C37,"")</f>
        <v/>
      </c>
      <c r="N37" s="3" t="str">
        <f t="shared" si="3"/>
        <v/>
      </c>
      <c r="O37" s="3" t="str">
        <f t="shared" si="3"/>
        <v/>
      </c>
      <c r="P37" s="3" t="str">
        <f t="shared" si="3"/>
        <v/>
      </c>
      <c r="Q37" s="3" t="str">
        <f t="shared" si="3"/>
        <v/>
      </c>
      <c r="R37" s="3" t="str">
        <f t="shared" si="3"/>
        <v/>
      </c>
      <c r="S37" s="3" t="str">
        <f t="shared" si="3"/>
        <v/>
      </c>
      <c r="T37" s="3" t="str">
        <f t="shared" si="3"/>
        <v/>
      </c>
      <c r="U37" s="112" t="str">
        <f t="shared" si="3"/>
        <v/>
      </c>
    </row>
    <row r="38">
      <c r="A38" s="42"/>
      <c r="B38" s="42"/>
      <c r="C38" s="31">
        <f t="shared" si="4"/>
        <v>3</v>
      </c>
      <c r="D38" s="3" t="str">
        <f t="shared" ref="D38:I38" si="5">if($C6&gt;$C$35,D6,"")</f>
        <v>RF.3.3a</v>
      </c>
      <c r="E38" s="109" t="str">
        <f t="shared" si="5"/>
        <v>Identify and know the meaning of the most common prefixes and derivational suffixes.</v>
      </c>
      <c r="F38" s="110" t="b">
        <f t="shared" si="5"/>
        <v>1</v>
      </c>
      <c r="G38" s="110" t="b">
        <f t="shared" si="5"/>
        <v>1</v>
      </c>
      <c r="H38" s="110" t="b">
        <f t="shared" si="5"/>
        <v>0</v>
      </c>
      <c r="I38" s="110" t="b">
        <f t="shared" si="5"/>
        <v>1</v>
      </c>
      <c r="J38" s="3"/>
      <c r="K38" s="109" t="str">
        <f t="shared" si="6"/>
        <v>R - Applied going forward
E - Used throughout the year</v>
      </c>
      <c r="L38" s="111" t="b">
        <v>0</v>
      </c>
      <c r="M38" s="3" t="str">
        <f t="shared" ref="M38:M64" si="8">if($L38=TRUE,C38,"")</f>
        <v/>
      </c>
      <c r="N38" s="3"/>
      <c r="O38" s="3"/>
      <c r="P38" s="3"/>
      <c r="Q38" s="3"/>
      <c r="R38" s="3"/>
      <c r="S38" s="3"/>
      <c r="T38" s="3"/>
      <c r="U38" s="112"/>
    </row>
    <row r="39">
      <c r="A39" s="42"/>
      <c r="B39" s="42"/>
      <c r="C39" s="31">
        <f t="shared" si="4"/>
        <v>0</v>
      </c>
      <c r="D39" s="3" t="str">
        <f t="shared" ref="D39:I39" si="7">if($C7&gt;$C$35,D7,"")</f>
        <v/>
      </c>
      <c r="E39" s="109" t="str">
        <f t="shared" si="7"/>
        <v/>
      </c>
      <c r="F39" s="110" t="str">
        <f t="shared" si="7"/>
        <v/>
      </c>
      <c r="G39" s="110" t="str">
        <f t="shared" si="7"/>
        <v/>
      </c>
      <c r="H39" s="110" t="str">
        <f t="shared" si="7"/>
        <v/>
      </c>
      <c r="I39" s="110" t="str">
        <f t="shared" si="7"/>
        <v/>
      </c>
      <c r="J39" s="3"/>
      <c r="K39" s="109" t="str">
        <f t="shared" si="6"/>
        <v/>
      </c>
      <c r="L39" s="111" t="b">
        <v>0</v>
      </c>
      <c r="M39" s="3" t="str">
        <f t="shared" si="8"/>
        <v/>
      </c>
      <c r="N39" s="3" t="str">
        <f t="shared" ref="N39:U39" si="9">if($L39=TRUE,D39,"")</f>
        <v/>
      </c>
      <c r="O39" s="3" t="str">
        <f t="shared" si="9"/>
        <v/>
      </c>
      <c r="P39" s="3" t="str">
        <f t="shared" si="9"/>
        <v/>
      </c>
      <c r="Q39" s="3" t="str">
        <f t="shared" si="9"/>
        <v/>
      </c>
      <c r="R39" s="3" t="str">
        <f t="shared" si="9"/>
        <v/>
      </c>
      <c r="S39" s="3" t="str">
        <f t="shared" si="9"/>
        <v/>
      </c>
      <c r="T39" s="3" t="str">
        <f t="shared" si="9"/>
        <v/>
      </c>
      <c r="U39" s="3" t="str">
        <f t="shared" si="9"/>
        <v/>
      </c>
    </row>
    <row r="40">
      <c r="A40" s="42"/>
      <c r="B40" s="42"/>
      <c r="C40" s="31">
        <f t="shared" si="4"/>
        <v>3</v>
      </c>
      <c r="D40" s="3" t="str">
        <f t="shared" ref="D40:I40" si="10">if($C8&gt;$C$35,D8,"")</f>
        <v>RF.3.3c</v>
      </c>
      <c r="E40" s="109" t="str">
        <f t="shared" si="10"/>
        <v>Decode multisyllable words.</v>
      </c>
      <c r="F40" s="110" t="b">
        <f t="shared" si="10"/>
        <v>1</v>
      </c>
      <c r="G40" s="110" t="b">
        <f t="shared" si="10"/>
        <v>1</v>
      </c>
      <c r="H40" s="110" t="b">
        <f t="shared" si="10"/>
        <v>0</v>
      </c>
      <c r="I40" s="110" t="b">
        <f t="shared" si="10"/>
        <v>1</v>
      </c>
      <c r="J40" s="3"/>
      <c r="K40" s="109" t="str">
        <f t="shared" si="6"/>
        <v>R - Applied going forward
E - Used throughout the year</v>
      </c>
      <c r="L40" s="111" t="b">
        <v>0</v>
      </c>
      <c r="M40" s="3" t="str">
        <f t="shared" si="8"/>
        <v/>
      </c>
      <c r="N40" s="3" t="str">
        <f t="shared" ref="N40:U40" si="11">if($L40=TRUE,D40,"")</f>
        <v/>
      </c>
      <c r="O40" s="3" t="str">
        <f t="shared" si="11"/>
        <v/>
      </c>
      <c r="P40" s="3" t="str">
        <f t="shared" si="11"/>
        <v/>
      </c>
      <c r="Q40" s="3" t="str">
        <f t="shared" si="11"/>
        <v/>
      </c>
      <c r="R40" s="3" t="str">
        <f t="shared" si="11"/>
        <v/>
      </c>
      <c r="S40" s="3" t="str">
        <f t="shared" si="11"/>
        <v/>
      </c>
      <c r="T40" s="3" t="str">
        <f t="shared" si="11"/>
        <v/>
      </c>
      <c r="U40" s="112" t="str">
        <f t="shared" si="11"/>
        <v/>
      </c>
    </row>
    <row r="41">
      <c r="A41" s="42"/>
      <c r="B41" s="49"/>
      <c r="C41" s="50">
        <f t="shared" si="4"/>
        <v>0</v>
      </c>
      <c r="D41" s="3" t="str">
        <f t="shared" ref="D41:I41" si="12">if($C9&gt;$C$35,D9,"")</f>
        <v/>
      </c>
      <c r="E41" s="109" t="str">
        <f t="shared" si="12"/>
        <v/>
      </c>
      <c r="F41" s="110" t="str">
        <f t="shared" si="12"/>
        <v/>
      </c>
      <c r="G41" s="110" t="str">
        <f t="shared" si="12"/>
        <v/>
      </c>
      <c r="H41" s="110" t="str">
        <f t="shared" si="12"/>
        <v/>
      </c>
      <c r="I41" s="110" t="str">
        <f t="shared" si="12"/>
        <v/>
      </c>
      <c r="J41" s="3"/>
      <c r="K41" s="109" t="str">
        <f t="shared" si="6"/>
        <v/>
      </c>
      <c r="L41" s="113" t="b">
        <v>0</v>
      </c>
      <c r="M41" s="3" t="str">
        <f t="shared" si="8"/>
        <v/>
      </c>
      <c r="N41" s="3" t="str">
        <f t="shared" ref="N41:U41" si="13">if($L41=TRUE,D41,"")</f>
        <v/>
      </c>
      <c r="O41" s="3" t="str">
        <f t="shared" si="13"/>
        <v/>
      </c>
      <c r="P41" s="3" t="str">
        <f t="shared" si="13"/>
        <v/>
      </c>
      <c r="Q41" s="3" t="str">
        <f t="shared" si="13"/>
        <v/>
      </c>
      <c r="R41" s="3" t="str">
        <f t="shared" si="13"/>
        <v/>
      </c>
      <c r="S41" s="3" t="str">
        <f t="shared" si="13"/>
        <v/>
      </c>
      <c r="T41" s="3" t="str">
        <f t="shared" si="13"/>
        <v/>
      </c>
      <c r="U41" s="112" t="str">
        <f t="shared" si="13"/>
        <v/>
      </c>
    </row>
    <row r="42">
      <c r="A42" s="42"/>
      <c r="B42" s="63" t="s">
        <v>66</v>
      </c>
      <c r="C42" s="31">
        <f t="shared" si="4"/>
        <v>3</v>
      </c>
      <c r="D42" s="3" t="str">
        <f t="shared" ref="D42:I42" si="14">if($C10&gt;$C$35,D10,"")</f>
        <v>RF.3.4</v>
      </c>
      <c r="E42" s="109" t="str">
        <f t="shared" si="14"/>
        <v>Read with sufficient accuracy and fluency to support comprehension</v>
      </c>
      <c r="F42" s="110" t="b">
        <f t="shared" si="14"/>
        <v>1</v>
      </c>
      <c r="G42" s="110" t="b">
        <f t="shared" si="14"/>
        <v>1</v>
      </c>
      <c r="H42" s="110" t="b">
        <f t="shared" si="14"/>
        <v>0</v>
      </c>
      <c r="I42" s="110" t="b">
        <f t="shared" si="14"/>
        <v>1</v>
      </c>
      <c r="J42" s="3"/>
      <c r="K42" s="109" t="str">
        <f t="shared" si="6"/>
        <v>R - Applied going forward
E - Fluency affects comprehension in other content
L - Constantly used in all content</v>
      </c>
      <c r="L42" s="113" t="b">
        <v>0</v>
      </c>
      <c r="M42" s="3" t="str">
        <f t="shared" si="8"/>
        <v/>
      </c>
      <c r="N42" s="3" t="str">
        <f t="shared" ref="N42:U42" si="15">if($L42=TRUE,D42,"")</f>
        <v/>
      </c>
      <c r="O42" s="3" t="str">
        <f t="shared" si="15"/>
        <v/>
      </c>
      <c r="P42" s="3" t="str">
        <f t="shared" si="15"/>
        <v/>
      </c>
      <c r="Q42" s="3" t="str">
        <f t="shared" si="15"/>
        <v/>
      </c>
      <c r="R42" s="3" t="str">
        <f t="shared" si="15"/>
        <v/>
      </c>
      <c r="S42" s="3" t="str">
        <f t="shared" si="15"/>
        <v/>
      </c>
      <c r="T42" s="3" t="str">
        <f t="shared" si="15"/>
        <v/>
      </c>
      <c r="U42" s="112" t="str">
        <f t="shared" si="15"/>
        <v/>
      </c>
    </row>
    <row r="43">
      <c r="A43" s="42"/>
      <c r="B43" s="42"/>
      <c r="C43" s="31">
        <f t="shared" si="4"/>
        <v>4</v>
      </c>
      <c r="D43" s="3" t="str">
        <f t="shared" ref="D43:I43" si="16">if($C11&gt;$C$35,D11,"")</f>
        <v>RF.3.4a</v>
      </c>
      <c r="E43" s="109" t="str">
        <f t="shared" si="16"/>
        <v>Read grade-level text with purpose and understanding.</v>
      </c>
      <c r="F43" s="110" t="b">
        <f t="shared" si="16"/>
        <v>1</v>
      </c>
      <c r="G43" s="110" t="b">
        <f t="shared" si="16"/>
        <v>1</v>
      </c>
      <c r="H43" s="110" t="b">
        <f t="shared" si="16"/>
        <v>1</v>
      </c>
      <c r="I43" s="110" t="b">
        <f t="shared" si="16"/>
        <v>1</v>
      </c>
      <c r="J43" s="3"/>
      <c r="K43" s="109" t="str">
        <f t="shared" si="6"/>
        <v>R - Applied going forward
E - Used throughout the year
A - Overall purpose of our assessment
L - Used in EVERYTHING</v>
      </c>
      <c r="L43" s="111" t="b">
        <v>0</v>
      </c>
      <c r="M43" s="3" t="str">
        <f t="shared" si="8"/>
        <v/>
      </c>
      <c r="N43" s="3" t="str">
        <f t="shared" ref="N43:U43" si="17">if($L43=TRUE,D43,"")</f>
        <v/>
      </c>
      <c r="O43" s="3" t="str">
        <f t="shared" si="17"/>
        <v/>
      </c>
      <c r="P43" s="3" t="str">
        <f t="shared" si="17"/>
        <v/>
      </c>
      <c r="Q43" s="3" t="str">
        <f t="shared" si="17"/>
        <v/>
      </c>
      <c r="R43" s="3" t="str">
        <f t="shared" si="17"/>
        <v/>
      </c>
      <c r="S43" s="3" t="str">
        <f t="shared" si="17"/>
        <v/>
      </c>
      <c r="T43" s="3" t="str">
        <f t="shared" si="17"/>
        <v/>
      </c>
      <c r="U43" s="112" t="str">
        <f t="shared" si="17"/>
        <v/>
      </c>
    </row>
    <row r="44">
      <c r="A44" s="42"/>
      <c r="B44" s="42"/>
      <c r="C44" s="31">
        <f t="shared" si="4"/>
        <v>0</v>
      </c>
      <c r="D44" s="3" t="str">
        <f t="shared" ref="D44:I44" si="18">if($C12&gt;$C$35,D12,"")</f>
        <v/>
      </c>
      <c r="E44" s="109" t="str">
        <f t="shared" si="18"/>
        <v/>
      </c>
      <c r="F44" s="110" t="str">
        <f t="shared" si="18"/>
        <v/>
      </c>
      <c r="G44" s="110" t="str">
        <f t="shared" si="18"/>
        <v/>
      </c>
      <c r="H44" s="110" t="str">
        <f t="shared" si="18"/>
        <v/>
      </c>
      <c r="I44" s="110" t="str">
        <f t="shared" si="18"/>
        <v/>
      </c>
      <c r="J44" s="3"/>
      <c r="K44" s="109" t="str">
        <f t="shared" si="6"/>
        <v/>
      </c>
      <c r="L44" s="113" t="b">
        <v>0</v>
      </c>
      <c r="M44" s="3" t="str">
        <f t="shared" si="8"/>
        <v/>
      </c>
      <c r="N44" s="3" t="str">
        <f t="shared" ref="N44:U44" si="19">if($L44=TRUE,D44,"")</f>
        <v/>
      </c>
      <c r="O44" s="3" t="str">
        <f t="shared" si="19"/>
        <v/>
      </c>
      <c r="P44" s="3" t="str">
        <f t="shared" si="19"/>
        <v/>
      </c>
      <c r="Q44" s="3" t="str">
        <f t="shared" si="19"/>
        <v/>
      </c>
      <c r="R44" s="3" t="str">
        <f t="shared" si="19"/>
        <v/>
      </c>
      <c r="S44" s="3" t="str">
        <f t="shared" si="19"/>
        <v/>
      </c>
      <c r="T44" s="3" t="str">
        <f t="shared" si="19"/>
        <v/>
      </c>
      <c r="U44" s="112" t="str">
        <f t="shared" si="19"/>
        <v/>
      </c>
    </row>
    <row r="45">
      <c r="A45" s="49"/>
      <c r="B45" s="49"/>
      <c r="C45" s="50">
        <f t="shared" si="4"/>
        <v>3</v>
      </c>
      <c r="D45" s="3" t="str">
        <f t="shared" ref="D45:I45" si="20">if($C13&gt;$C$35,D13,"")</f>
        <v>RF.3.4c</v>
      </c>
      <c r="E45" s="109" t="str">
        <f t="shared" si="20"/>
        <v>Use context to confirm or self-correct word recognition and understanding, rereading as necessary.</v>
      </c>
      <c r="F45" s="110" t="b">
        <f t="shared" si="20"/>
        <v>1</v>
      </c>
      <c r="G45" s="110" t="b">
        <f t="shared" si="20"/>
        <v>1</v>
      </c>
      <c r="H45" s="110" t="b">
        <f t="shared" si="20"/>
        <v>0</v>
      </c>
      <c r="I45" s="110" t="b">
        <f t="shared" si="20"/>
        <v>1</v>
      </c>
      <c r="J45" s="3"/>
      <c r="K45" s="109" t="str">
        <f t="shared" si="6"/>
        <v>R - Multisyllable words
E - Active reading, used constantly
L - Used in all, especially informational</v>
      </c>
      <c r="L45" s="113" t="b">
        <v>0</v>
      </c>
      <c r="M45" s="3" t="str">
        <f t="shared" si="8"/>
        <v/>
      </c>
      <c r="N45" s="3" t="str">
        <f t="shared" ref="N45:U45" si="21">if($L45=TRUE,D45,"")</f>
        <v/>
      </c>
      <c r="O45" s="3" t="str">
        <f t="shared" si="21"/>
        <v/>
      </c>
      <c r="P45" s="3" t="str">
        <f t="shared" si="21"/>
        <v/>
      </c>
      <c r="Q45" s="3" t="str">
        <f t="shared" si="21"/>
        <v/>
      </c>
      <c r="R45" s="3" t="str">
        <f t="shared" si="21"/>
        <v/>
      </c>
      <c r="S45" s="3" t="str">
        <f t="shared" si="21"/>
        <v/>
      </c>
      <c r="T45" s="3" t="str">
        <f t="shared" si="21"/>
        <v/>
      </c>
      <c r="U45" s="112" t="str">
        <f t="shared" si="21"/>
        <v/>
      </c>
    </row>
    <row r="46">
      <c r="A46" s="75" t="s">
        <v>102</v>
      </c>
      <c r="B46" s="67" t="s">
        <v>107</v>
      </c>
      <c r="C46" s="31">
        <f t="shared" si="4"/>
        <v>4</v>
      </c>
      <c r="D46" s="3" t="str">
        <f t="shared" ref="D46:I46" si="22">if($C14&gt;$C$35,D14,"")</f>
        <v>RL.3.1</v>
      </c>
      <c r="E46" s="109" t="str">
        <f t="shared" si="22"/>
        <v>Ask and answer questions to demonstrate understanding of a text, referring explicitly to the text as the basis for the answers.</v>
      </c>
      <c r="F46" s="110" t="b">
        <f t="shared" si="22"/>
        <v>1</v>
      </c>
      <c r="G46" s="110" t="b">
        <f t="shared" si="22"/>
        <v>1</v>
      </c>
      <c r="H46" s="110" t="b">
        <f t="shared" si="22"/>
        <v>1</v>
      </c>
      <c r="I46" s="110" t="b">
        <f t="shared" si="22"/>
        <v>1</v>
      </c>
      <c r="J46" s="3"/>
      <c r="K46" s="109" t="str">
        <f t="shared" si="6"/>
        <v>R - Used in all content and grade levels
E - CONSTANT use (in life) (and test)
A - ACT Aspire, and all other tests
L - Used in SS, Science, Math</v>
      </c>
      <c r="L46" s="111" t="b">
        <v>1</v>
      </c>
      <c r="M46" s="3">
        <f t="shared" si="8"/>
        <v>4</v>
      </c>
      <c r="N46" s="3" t="str">
        <f t="shared" ref="N46:U46" si="23">if($L46=TRUE,D46,"")</f>
        <v>RL.3.1</v>
      </c>
      <c r="O46" s="3" t="str">
        <f t="shared" si="23"/>
        <v>Ask and answer questions to demonstrate understanding of a text, referring explicitly to the text as the basis for the answers.</v>
      </c>
      <c r="P46" s="3" t="b">
        <f t="shared" si="23"/>
        <v>1</v>
      </c>
      <c r="Q46" s="3" t="b">
        <f t="shared" si="23"/>
        <v>1</v>
      </c>
      <c r="R46" s="3" t="b">
        <f t="shared" si="23"/>
        <v>1</v>
      </c>
      <c r="S46" s="3" t="b">
        <f t="shared" si="23"/>
        <v>1</v>
      </c>
      <c r="T46" s="3" t="str">
        <f t="shared" si="23"/>
        <v/>
      </c>
      <c r="U46" s="112" t="str">
        <f t="shared" si="23"/>
        <v>R - Used in all content and grade levels
E - CONSTANT use (in life) (and test)
A - ACT Aspire, and all other tests
L - Used in SS, Science, Math</v>
      </c>
    </row>
    <row r="47">
      <c r="A47" s="42"/>
      <c r="B47" s="42"/>
      <c r="C47" s="31">
        <f t="shared" si="4"/>
        <v>3</v>
      </c>
      <c r="D47" s="3" t="str">
        <f t="shared" ref="D47:I47" si="24">if($C15&gt;$C$35,D15,"")</f>
        <v>RL.3.2</v>
      </c>
      <c r="E47" s="109" t="str">
        <f t="shared" si="24"/>
        <v>Recount stories, including fables, folktales, and myths from diverse cultures; determine the central message, lesson, or moral and explain how it is conveyed through key details in the text.</v>
      </c>
      <c r="F47" s="110" t="b">
        <f t="shared" si="24"/>
        <v>1</v>
      </c>
      <c r="G47" s="110" t="b">
        <f t="shared" si="24"/>
        <v>1</v>
      </c>
      <c r="H47" s="110" t="b">
        <f t="shared" si="24"/>
        <v>1</v>
      </c>
      <c r="I47" s="110" t="b">
        <f t="shared" si="24"/>
        <v>0</v>
      </c>
      <c r="J47" s="3"/>
      <c r="K47" s="109" t="str">
        <f t="shared" si="6"/>
        <v>R - Used in future grades
E - Done all year
A - Likely to be assessed for 3rd</v>
      </c>
      <c r="L47" s="113" t="b">
        <v>0</v>
      </c>
      <c r="M47" s="3" t="str">
        <f t="shared" si="8"/>
        <v/>
      </c>
      <c r="N47" s="3" t="str">
        <f t="shared" ref="N47:U47" si="25">if($L47=TRUE,D47,"")</f>
        <v/>
      </c>
      <c r="O47" s="3" t="str">
        <f t="shared" si="25"/>
        <v/>
      </c>
      <c r="P47" s="3" t="str">
        <f t="shared" si="25"/>
        <v/>
      </c>
      <c r="Q47" s="3" t="str">
        <f t="shared" si="25"/>
        <v/>
      </c>
      <c r="R47" s="3" t="str">
        <f t="shared" si="25"/>
        <v/>
      </c>
      <c r="S47" s="3" t="str">
        <f t="shared" si="25"/>
        <v/>
      </c>
      <c r="T47" s="3" t="str">
        <f t="shared" si="25"/>
        <v/>
      </c>
      <c r="U47" s="112" t="str">
        <f t="shared" si="25"/>
        <v/>
      </c>
    </row>
    <row r="48">
      <c r="A48" s="42"/>
      <c r="B48" s="49"/>
      <c r="C48" s="50">
        <f t="shared" si="4"/>
        <v>4</v>
      </c>
      <c r="D48" s="3" t="str">
        <f t="shared" ref="D48:I48" si="26">if($C16&gt;$C$35,D16,"")</f>
        <v>RL.3.3</v>
      </c>
      <c r="E48" s="109" t="str">
        <f t="shared" si="26"/>
        <v>Describe characters in a story (e.g., their traits, motivations, or feelings) and explain how their actions contribute to the sequence of events.</v>
      </c>
      <c r="F48" s="110" t="b">
        <f t="shared" si="26"/>
        <v>1</v>
      </c>
      <c r="G48" s="110" t="b">
        <f t="shared" si="26"/>
        <v>1</v>
      </c>
      <c r="H48" s="110" t="b">
        <f t="shared" si="26"/>
        <v>1</v>
      </c>
      <c r="I48" s="110" t="b">
        <f t="shared" si="26"/>
        <v>1</v>
      </c>
      <c r="J48" s="3"/>
      <c r="K48" s="109" t="str">
        <f t="shared" si="6"/>
        <v>R - To be used in other grade levels
E - All year, especially in writing and reading
A - Many questions about these components
L - Could be used in Writing and SS</v>
      </c>
      <c r="L48" s="111" t="b">
        <v>1</v>
      </c>
      <c r="M48" s="3">
        <f t="shared" si="8"/>
        <v>4</v>
      </c>
      <c r="N48" s="3" t="str">
        <f t="shared" ref="N48:U48" si="27">if($L48=TRUE,D48,"")</f>
        <v>RL.3.3</v>
      </c>
      <c r="O48" s="3" t="str">
        <f t="shared" si="27"/>
        <v>Describe characters in a story (e.g., their traits, motivations, or feelings) and explain how their actions contribute to the sequence of events.</v>
      </c>
      <c r="P48" s="3" t="b">
        <f t="shared" si="27"/>
        <v>1</v>
      </c>
      <c r="Q48" s="3" t="b">
        <f t="shared" si="27"/>
        <v>1</v>
      </c>
      <c r="R48" s="3" t="b">
        <f t="shared" si="27"/>
        <v>1</v>
      </c>
      <c r="S48" s="3" t="b">
        <f t="shared" si="27"/>
        <v>1</v>
      </c>
      <c r="T48" s="3" t="str">
        <f t="shared" si="27"/>
        <v/>
      </c>
      <c r="U48" s="112" t="str">
        <f t="shared" si="27"/>
        <v>R - To be used in other grade levels
E - All year, especially in writing and reading
A - Many questions about these components
L - Could be used in Writing and SS</v>
      </c>
    </row>
    <row r="49">
      <c r="A49" s="42"/>
      <c r="B49" s="71" t="s">
        <v>123</v>
      </c>
      <c r="C49" s="31">
        <f t="shared" si="4"/>
        <v>4</v>
      </c>
      <c r="D49" s="3" t="str">
        <f t="shared" ref="D49:I49" si="28">if($C17&gt;$C$35,D17,"")</f>
        <v>RL.3.4</v>
      </c>
      <c r="E49" s="109" t="str">
        <f t="shared" si="28"/>
        <v>Determine the meaning of words and phrases as they are used in a text, distinguishing literal from nonliteral language.</v>
      </c>
      <c r="F49" s="110" t="b">
        <f t="shared" si="28"/>
        <v>1</v>
      </c>
      <c r="G49" s="110" t="b">
        <f t="shared" si="28"/>
        <v>1</v>
      </c>
      <c r="H49" s="110" t="b">
        <f t="shared" si="28"/>
        <v>1</v>
      </c>
      <c r="I49" s="110" t="b">
        <f t="shared" si="28"/>
        <v>1</v>
      </c>
      <c r="J49" s="3"/>
      <c r="K49" s="109" t="str">
        <f t="shared" si="6"/>
        <v>R - Prereq for the next year
E - FOREVER
A - Tested!
L - In all subjects it is used!</v>
      </c>
      <c r="L49" s="111" t="b">
        <v>1</v>
      </c>
      <c r="M49" s="3">
        <f t="shared" si="8"/>
        <v>4</v>
      </c>
      <c r="N49" s="3" t="str">
        <f t="shared" ref="N49:U49" si="29">if($L49=TRUE,D49,"")</f>
        <v>RL.3.4</v>
      </c>
      <c r="O49" s="3" t="str">
        <f t="shared" si="29"/>
        <v>Determine the meaning of words and phrases as they are used in a text, distinguishing literal from nonliteral language.</v>
      </c>
      <c r="P49" s="3" t="b">
        <f t="shared" si="29"/>
        <v>1</v>
      </c>
      <c r="Q49" s="3" t="b">
        <f t="shared" si="29"/>
        <v>1</v>
      </c>
      <c r="R49" s="3" t="b">
        <f t="shared" si="29"/>
        <v>1</v>
      </c>
      <c r="S49" s="3" t="b">
        <f t="shared" si="29"/>
        <v>1</v>
      </c>
      <c r="T49" s="3" t="str">
        <f t="shared" si="29"/>
        <v/>
      </c>
      <c r="U49" s="112" t="str">
        <f t="shared" si="29"/>
        <v>R - Prereq for the next year
E - FOREVER
A - Tested!
L - In all subjects it is used!</v>
      </c>
    </row>
    <row r="50">
      <c r="A50" s="42"/>
      <c r="B50" s="42"/>
      <c r="C50" s="31">
        <f t="shared" si="4"/>
        <v>0</v>
      </c>
      <c r="D50" s="3" t="str">
        <f t="shared" ref="D50:I50" si="30">if($C18&gt;$C$35,D18,"")</f>
        <v/>
      </c>
      <c r="E50" s="109" t="str">
        <f t="shared" si="30"/>
        <v/>
      </c>
      <c r="F50" s="110" t="str">
        <f t="shared" si="30"/>
        <v/>
      </c>
      <c r="G50" s="110" t="str">
        <f t="shared" si="30"/>
        <v/>
      </c>
      <c r="H50" s="110" t="str">
        <f t="shared" si="30"/>
        <v/>
      </c>
      <c r="I50" s="110" t="str">
        <f t="shared" si="30"/>
        <v/>
      </c>
      <c r="J50" s="3"/>
      <c r="K50" s="109" t="str">
        <f t="shared" si="6"/>
        <v/>
      </c>
      <c r="L50" s="113" t="b">
        <v>0</v>
      </c>
      <c r="M50" s="3" t="str">
        <f t="shared" si="8"/>
        <v/>
      </c>
      <c r="N50" s="3" t="str">
        <f t="shared" ref="N50:U50" si="31">if($L50=TRUE,D50,"")</f>
        <v/>
      </c>
      <c r="O50" s="3" t="str">
        <f t="shared" si="31"/>
        <v/>
      </c>
      <c r="P50" s="3" t="str">
        <f t="shared" si="31"/>
        <v/>
      </c>
      <c r="Q50" s="3" t="str">
        <f t="shared" si="31"/>
        <v/>
      </c>
      <c r="R50" s="3" t="str">
        <f t="shared" si="31"/>
        <v/>
      </c>
      <c r="S50" s="3" t="str">
        <f t="shared" si="31"/>
        <v/>
      </c>
      <c r="T50" s="3" t="str">
        <f t="shared" si="31"/>
        <v/>
      </c>
      <c r="U50" s="112" t="str">
        <f t="shared" si="31"/>
        <v/>
      </c>
    </row>
    <row r="51">
      <c r="A51" s="42"/>
      <c r="B51" s="49"/>
      <c r="C51" s="50">
        <f t="shared" si="4"/>
        <v>3</v>
      </c>
      <c r="D51" s="3" t="str">
        <f t="shared" ref="D51:I51" si="32">if($C19&gt;$C$35,D19,"")</f>
        <v>RL.3.6</v>
      </c>
      <c r="E51" s="109" t="str">
        <f t="shared" si="32"/>
        <v>Distinguish their own point of view from that of the narrator or those of the characters.</v>
      </c>
      <c r="F51" s="110" t="b">
        <f t="shared" si="32"/>
        <v>1</v>
      </c>
      <c r="G51" s="110" t="b">
        <f t="shared" si="32"/>
        <v>1</v>
      </c>
      <c r="H51" s="110" t="b">
        <f t="shared" si="32"/>
        <v>1</v>
      </c>
      <c r="I51" s="110" t="b">
        <f t="shared" si="32"/>
        <v>0</v>
      </c>
      <c r="J51" s="3"/>
      <c r="K51" s="109" t="str">
        <f t="shared" si="6"/>
        <v>R - Prereq for the following years
E - Constant
A - Possibly?</v>
      </c>
      <c r="L51" s="113" t="b">
        <v>0</v>
      </c>
      <c r="M51" s="3" t="str">
        <f t="shared" si="8"/>
        <v/>
      </c>
      <c r="N51" s="3" t="str">
        <f t="shared" ref="N51:U51" si="33">if($L51=TRUE,D51,"")</f>
        <v/>
      </c>
      <c r="O51" s="3" t="str">
        <f t="shared" si="33"/>
        <v/>
      </c>
      <c r="P51" s="3" t="str">
        <f t="shared" si="33"/>
        <v/>
      </c>
      <c r="Q51" s="3" t="str">
        <f t="shared" si="33"/>
        <v/>
      </c>
      <c r="R51" s="3" t="str">
        <f t="shared" si="33"/>
        <v/>
      </c>
      <c r="S51" s="3" t="str">
        <f t="shared" si="33"/>
        <v/>
      </c>
      <c r="T51" s="3" t="str">
        <f t="shared" si="33"/>
        <v/>
      </c>
      <c r="U51" s="112" t="str">
        <f t="shared" si="33"/>
        <v/>
      </c>
    </row>
    <row r="52">
      <c r="A52" s="42"/>
      <c r="B52" s="74" t="s">
        <v>141</v>
      </c>
      <c r="C52" s="31">
        <f t="shared" si="4"/>
        <v>0</v>
      </c>
      <c r="D52" s="3" t="str">
        <f t="shared" ref="D52:I52" si="34">if($C20&gt;$C$35,D20,"")</f>
        <v/>
      </c>
      <c r="E52" s="109" t="str">
        <f t="shared" si="34"/>
        <v/>
      </c>
      <c r="F52" s="110" t="str">
        <f t="shared" si="34"/>
        <v/>
      </c>
      <c r="G52" s="110" t="str">
        <f t="shared" si="34"/>
        <v/>
      </c>
      <c r="H52" s="110" t="str">
        <f t="shared" si="34"/>
        <v/>
      </c>
      <c r="I52" s="110" t="str">
        <f t="shared" si="34"/>
        <v/>
      </c>
      <c r="J52" s="3"/>
      <c r="K52" s="109" t="str">
        <f t="shared" si="6"/>
        <v/>
      </c>
      <c r="L52" s="113" t="b">
        <v>0</v>
      </c>
      <c r="M52" s="3" t="str">
        <f t="shared" si="8"/>
        <v/>
      </c>
      <c r="N52" s="3" t="str">
        <f t="shared" ref="N52:U52" si="35">if($L52=TRUE,D52,"")</f>
        <v/>
      </c>
      <c r="O52" s="3" t="str">
        <f t="shared" si="35"/>
        <v/>
      </c>
      <c r="P52" s="3" t="str">
        <f t="shared" si="35"/>
        <v/>
      </c>
      <c r="Q52" s="3" t="str">
        <f t="shared" si="35"/>
        <v/>
      </c>
      <c r="R52" s="3" t="str">
        <f t="shared" si="35"/>
        <v/>
      </c>
      <c r="S52" s="3" t="str">
        <f t="shared" si="35"/>
        <v/>
      </c>
      <c r="T52" s="3" t="str">
        <f t="shared" si="35"/>
        <v/>
      </c>
      <c r="U52" s="112" t="str">
        <f t="shared" si="35"/>
        <v/>
      </c>
    </row>
    <row r="53">
      <c r="A53" s="42"/>
      <c r="B53" s="49"/>
      <c r="C53" s="50">
        <f t="shared" si="4"/>
        <v>0</v>
      </c>
      <c r="D53" s="3" t="str">
        <f t="shared" ref="D53:I53" si="36">if($C21&gt;$C$35,D21,"")</f>
        <v/>
      </c>
      <c r="E53" s="109" t="str">
        <f t="shared" si="36"/>
        <v/>
      </c>
      <c r="F53" s="110" t="str">
        <f t="shared" si="36"/>
        <v/>
      </c>
      <c r="G53" s="110" t="str">
        <f t="shared" si="36"/>
        <v/>
      </c>
      <c r="H53" s="110" t="str">
        <f t="shared" si="36"/>
        <v/>
      </c>
      <c r="I53" s="110" t="str">
        <f t="shared" si="36"/>
        <v/>
      </c>
      <c r="J53" s="3"/>
      <c r="K53" s="109" t="str">
        <f t="shared" si="6"/>
        <v/>
      </c>
      <c r="L53" s="113" t="b">
        <v>0</v>
      </c>
      <c r="M53" s="3" t="str">
        <f t="shared" si="8"/>
        <v/>
      </c>
      <c r="N53" s="3" t="str">
        <f t="shared" ref="N53:U53" si="37">if($L53=TRUE,D53,"")</f>
        <v/>
      </c>
      <c r="O53" s="3" t="str">
        <f t="shared" si="37"/>
        <v/>
      </c>
      <c r="P53" s="3" t="str">
        <f t="shared" si="37"/>
        <v/>
      </c>
      <c r="Q53" s="3" t="str">
        <f t="shared" si="37"/>
        <v/>
      </c>
      <c r="R53" s="3" t="str">
        <f t="shared" si="37"/>
        <v/>
      </c>
      <c r="S53" s="3" t="str">
        <f t="shared" si="37"/>
        <v/>
      </c>
      <c r="T53" s="3" t="str">
        <f t="shared" si="37"/>
        <v/>
      </c>
      <c r="U53" s="112" t="str">
        <f t="shared" si="37"/>
        <v/>
      </c>
    </row>
    <row r="54">
      <c r="A54" s="42"/>
      <c r="B54" s="78" t="s">
        <v>156</v>
      </c>
      <c r="C54" s="50">
        <f t="shared" si="4"/>
        <v>4</v>
      </c>
      <c r="D54" s="3" t="str">
        <f t="shared" ref="D54:I54" si="38">if($C22&gt;$C$35,D22,"")</f>
        <v>RL.3.10</v>
      </c>
      <c r="E54" s="109" t="str">
        <f t="shared" si="38"/>
        <v>By the end of the year, read and comprehend literature, including stories, dramas, and poetry, at the high end of the grades 2–3 text complexity band independently and proficiently.</v>
      </c>
      <c r="F54" s="110" t="b">
        <f t="shared" si="38"/>
        <v>1</v>
      </c>
      <c r="G54" s="110" t="b">
        <f t="shared" si="38"/>
        <v>1</v>
      </c>
      <c r="H54" s="110" t="b">
        <f t="shared" si="38"/>
        <v>1</v>
      </c>
      <c r="I54" s="110" t="b">
        <f t="shared" si="38"/>
        <v>1</v>
      </c>
      <c r="J54" s="3"/>
      <c r="K54" s="109" t="str">
        <f t="shared" si="6"/>
        <v>This will be the focus of the teacher.</v>
      </c>
      <c r="L54" s="113" t="b">
        <v>0</v>
      </c>
      <c r="M54" s="3" t="str">
        <f t="shared" si="8"/>
        <v/>
      </c>
      <c r="N54" s="3" t="str">
        <f t="shared" ref="N54:U54" si="39">if($L54=TRUE,D54,"")</f>
        <v/>
      </c>
      <c r="O54" s="3" t="str">
        <f t="shared" si="39"/>
        <v/>
      </c>
      <c r="P54" s="3" t="str">
        <f t="shared" si="39"/>
        <v/>
      </c>
      <c r="Q54" s="3" t="str">
        <f t="shared" si="39"/>
        <v/>
      </c>
      <c r="R54" s="3" t="str">
        <f t="shared" si="39"/>
        <v/>
      </c>
      <c r="S54" s="3" t="str">
        <f t="shared" si="39"/>
        <v/>
      </c>
      <c r="T54" s="3" t="str">
        <f t="shared" si="39"/>
        <v/>
      </c>
      <c r="U54" s="112" t="str">
        <f t="shared" si="39"/>
        <v/>
      </c>
    </row>
    <row r="55">
      <c r="A55" s="49"/>
      <c r="B55" s="79" t="s">
        <v>107</v>
      </c>
      <c r="C55" s="31">
        <f t="shared" si="4"/>
        <v>4</v>
      </c>
      <c r="D55" s="3" t="str">
        <f t="shared" ref="D55:I55" si="40">if($C23&gt;$C$35,D23,"")</f>
        <v>RI.3.1</v>
      </c>
      <c r="E55" s="109" t="str">
        <f t="shared" si="40"/>
        <v>Ask and answer questions to demonstrate understanding of a text, referring explicitly to the text as the basis for the answers</v>
      </c>
      <c r="F55" s="110" t="b">
        <f t="shared" si="40"/>
        <v>1</v>
      </c>
      <c r="G55" s="110" t="b">
        <f t="shared" si="40"/>
        <v>1</v>
      </c>
      <c r="H55" s="110" t="b">
        <f t="shared" si="40"/>
        <v>1</v>
      </c>
      <c r="I55" s="110" t="b">
        <f t="shared" si="40"/>
        <v>1</v>
      </c>
      <c r="J55" s="3"/>
      <c r="K55" s="109" t="str">
        <f t="shared" si="6"/>
        <v/>
      </c>
      <c r="L55" s="111" t="b">
        <v>1</v>
      </c>
      <c r="M55" s="3">
        <f t="shared" si="8"/>
        <v>4</v>
      </c>
      <c r="N55" s="3" t="str">
        <f t="shared" ref="N55:U55" si="41">if($L55=TRUE,D55,"")</f>
        <v>RI.3.1</v>
      </c>
      <c r="O55" s="3" t="str">
        <f t="shared" si="41"/>
        <v>Ask and answer questions to demonstrate understanding of a text, referring explicitly to the text as the basis for the answers</v>
      </c>
      <c r="P55" s="3" t="b">
        <f t="shared" si="41"/>
        <v>1</v>
      </c>
      <c r="Q55" s="3" t="b">
        <f t="shared" si="41"/>
        <v>1</v>
      </c>
      <c r="R55" s="3" t="b">
        <f t="shared" si="41"/>
        <v>1</v>
      </c>
      <c r="S55" s="3" t="b">
        <f t="shared" si="41"/>
        <v>1</v>
      </c>
      <c r="T55" s="3" t="str">
        <f t="shared" si="41"/>
        <v/>
      </c>
      <c r="U55" s="112" t="str">
        <f t="shared" si="41"/>
        <v/>
      </c>
    </row>
    <row r="56">
      <c r="A56" s="87" t="s">
        <v>183</v>
      </c>
      <c r="B56" s="42"/>
      <c r="C56" s="31">
        <f t="shared" si="4"/>
        <v>4</v>
      </c>
      <c r="D56" s="3" t="str">
        <f t="shared" ref="D56:I56" si="42">if($C24&gt;$C$35,D24,"")</f>
        <v>RI.3.2</v>
      </c>
      <c r="E56" s="109" t="str">
        <f t="shared" si="42"/>
        <v>Determine the main idea of a text; recount the key details and explain</v>
      </c>
      <c r="F56" s="110" t="b">
        <f t="shared" si="42"/>
        <v>1</v>
      </c>
      <c r="G56" s="110" t="b">
        <f t="shared" si="42"/>
        <v>1</v>
      </c>
      <c r="H56" s="110" t="b">
        <f t="shared" si="42"/>
        <v>1</v>
      </c>
      <c r="I56" s="110" t="b">
        <f t="shared" si="42"/>
        <v>1</v>
      </c>
      <c r="J56" s="3"/>
      <c r="K56" s="109" t="str">
        <f t="shared" si="6"/>
        <v/>
      </c>
      <c r="L56" s="111" t="b">
        <v>1</v>
      </c>
      <c r="M56" s="3">
        <f t="shared" si="8"/>
        <v>4</v>
      </c>
      <c r="N56" s="3" t="str">
        <f t="shared" ref="N56:U56" si="43">if($L56=TRUE,D56,"")</f>
        <v>RI.3.2</v>
      </c>
      <c r="O56" s="3" t="str">
        <f t="shared" si="43"/>
        <v>Determine the main idea of a text; recount the key details and explain</v>
      </c>
      <c r="P56" s="3" t="b">
        <f t="shared" si="43"/>
        <v>1</v>
      </c>
      <c r="Q56" s="3" t="b">
        <f t="shared" si="43"/>
        <v>1</v>
      </c>
      <c r="R56" s="3" t="b">
        <f t="shared" si="43"/>
        <v>1</v>
      </c>
      <c r="S56" s="3" t="b">
        <f t="shared" si="43"/>
        <v>1</v>
      </c>
      <c r="T56" s="3" t="str">
        <f t="shared" si="43"/>
        <v/>
      </c>
      <c r="U56" s="112" t="str">
        <f t="shared" si="43"/>
        <v/>
      </c>
    </row>
    <row r="57">
      <c r="A57" s="42"/>
      <c r="B57" s="49"/>
      <c r="C57" s="50">
        <f t="shared" si="4"/>
        <v>4</v>
      </c>
      <c r="D57" s="3" t="str">
        <f t="shared" ref="D57:I57" si="44">if($C25&gt;$C$35,D25,"")</f>
        <v>RI.3.3</v>
      </c>
      <c r="E57" s="109" t="str">
        <f t="shared" si="44"/>
        <v>Describe the relationship between a series of historical events, scientific ideas or concepts, or steps in technical procedures in a text, using language that pertains to time, sequence, and cause/effect.</v>
      </c>
      <c r="F57" s="110" t="b">
        <f t="shared" si="44"/>
        <v>1</v>
      </c>
      <c r="G57" s="110" t="b">
        <f t="shared" si="44"/>
        <v>1</v>
      </c>
      <c r="H57" s="110" t="b">
        <f t="shared" si="44"/>
        <v>1</v>
      </c>
      <c r="I57" s="110" t="b">
        <f t="shared" si="44"/>
        <v>1</v>
      </c>
      <c r="J57" s="3"/>
      <c r="K57" s="109" t="str">
        <f t="shared" si="6"/>
        <v>Less focus on describe?</v>
      </c>
      <c r="L57" s="111" t="b">
        <v>1</v>
      </c>
      <c r="M57" s="3">
        <f t="shared" si="8"/>
        <v>4</v>
      </c>
      <c r="N57" s="3" t="str">
        <f t="shared" ref="N57:U57" si="45">if($L57=TRUE,D57,"")</f>
        <v>RI.3.3</v>
      </c>
      <c r="O57" s="3" t="str">
        <f t="shared" si="45"/>
        <v>Describe the relationship between a series of historical events, scientific ideas or concepts, or steps in technical procedures in a text, using language that pertains to time, sequence, and cause/effect.</v>
      </c>
      <c r="P57" s="3" t="b">
        <f t="shared" si="45"/>
        <v>1</v>
      </c>
      <c r="Q57" s="3" t="b">
        <f t="shared" si="45"/>
        <v>1</v>
      </c>
      <c r="R57" s="3" t="b">
        <f t="shared" si="45"/>
        <v>1</v>
      </c>
      <c r="S57" s="3" t="b">
        <f t="shared" si="45"/>
        <v>1</v>
      </c>
      <c r="T57" s="3" t="str">
        <f t="shared" si="45"/>
        <v/>
      </c>
      <c r="U57" s="112" t="str">
        <f t="shared" si="45"/>
        <v>Less focus on describe?</v>
      </c>
    </row>
    <row r="58">
      <c r="A58" s="42"/>
      <c r="B58" s="83" t="s">
        <v>123</v>
      </c>
      <c r="C58" s="31">
        <f t="shared" si="4"/>
        <v>4</v>
      </c>
      <c r="D58" s="3" t="str">
        <f t="shared" ref="D58:I58" si="46">if($C26&gt;$C$35,D26,"")</f>
        <v>RI.3.4</v>
      </c>
      <c r="E58" s="109" t="str">
        <f t="shared" si="46"/>
        <v>Determine the meaning of general academic and domain-specific words and phrases in a text relevant to a grade 3 topic or subject area.</v>
      </c>
      <c r="F58" s="110" t="b">
        <f t="shared" si="46"/>
        <v>1</v>
      </c>
      <c r="G58" s="110" t="b">
        <f t="shared" si="46"/>
        <v>1</v>
      </c>
      <c r="H58" s="110" t="b">
        <f t="shared" si="46"/>
        <v>1</v>
      </c>
      <c r="I58" s="110" t="b">
        <f t="shared" si="46"/>
        <v>1</v>
      </c>
      <c r="J58" s="3"/>
      <c r="K58" s="109" t="str">
        <f t="shared" si="6"/>
        <v/>
      </c>
      <c r="L58" s="111" t="b">
        <v>1</v>
      </c>
      <c r="M58" s="3">
        <f t="shared" si="8"/>
        <v>4</v>
      </c>
      <c r="N58" s="3" t="str">
        <f t="shared" ref="N58:U58" si="47">if($L58=TRUE,D58,"")</f>
        <v>RI.3.4</v>
      </c>
      <c r="O58" s="3" t="str">
        <f t="shared" si="47"/>
        <v>Determine the meaning of general academic and domain-specific words and phrases in a text relevant to a grade 3 topic or subject area.</v>
      </c>
      <c r="P58" s="3" t="b">
        <f t="shared" si="47"/>
        <v>1</v>
      </c>
      <c r="Q58" s="3" t="b">
        <f t="shared" si="47"/>
        <v>1</v>
      </c>
      <c r="R58" s="3" t="b">
        <f t="shared" si="47"/>
        <v>1</v>
      </c>
      <c r="S58" s="3" t="b">
        <f t="shared" si="47"/>
        <v>1</v>
      </c>
      <c r="T58" s="3" t="str">
        <f t="shared" si="47"/>
        <v/>
      </c>
      <c r="U58" s="112" t="str">
        <f t="shared" si="47"/>
        <v/>
      </c>
    </row>
    <row r="59">
      <c r="A59" s="42"/>
      <c r="B59" s="42"/>
      <c r="C59" s="31">
        <f t="shared" si="4"/>
        <v>4</v>
      </c>
      <c r="D59" s="3" t="str">
        <f t="shared" ref="D59:I59" si="48">if($C27&gt;$C$35,D27,"")</f>
        <v>RI.3.5</v>
      </c>
      <c r="E59" s="109" t="str">
        <f t="shared" si="48"/>
        <v>Use text features and search tools (e.g., key words, sidebars, hyperlinks) to locate information relevant to a given topic efficiently.</v>
      </c>
      <c r="F59" s="110" t="b">
        <f t="shared" si="48"/>
        <v>1</v>
      </c>
      <c r="G59" s="110" t="b">
        <f t="shared" si="48"/>
        <v>1</v>
      </c>
      <c r="H59" s="110" t="b">
        <f t="shared" si="48"/>
        <v>1</v>
      </c>
      <c r="I59" s="110" t="b">
        <f t="shared" si="48"/>
        <v>1</v>
      </c>
      <c r="J59" s="3"/>
      <c r="K59" s="109" t="str">
        <f t="shared" si="6"/>
        <v>Focus on the use of text features</v>
      </c>
      <c r="L59" s="111" t="b">
        <v>1</v>
      </c>
      <c r="M59" s="3">
        <f t="shared" si="8"/>
        <v>4</v>
      </c>
      <c r="N59" s="3" t="str">
        <f t="shared" ref="N59:U59" si="49">if($L59=TRUE,D59,"")</f>
        <v>RI.3.5</v>
      </c>
      <c r="O59" s="3" t="str">
        <f t="shared" si="49"/>
        <v>Use text features and search tools (e.g., key words, sidebars, hyperlinks) to locate information relevant to a given topic efficiently.</v>
      </c>
      <c r="P59" s="3" t="b">
        <f t="shared" si="49"/>
        <v>1</v>
      </c>
      <c r="Q59" s="3" t="b">
        <f t="shared" si="49"/>
        <v>1</v>
      </c>
      <c r="R59" s="3" t="b">
        <f t="shared" si="49"/>
        <v>1</v>
      </c>
      <c r="S59" s="3" t="b">
        <f t="shared" si="49"/>
        <v>1</v>
      </c>
      <c r="T59" s="3" t="str">
        <f t="shared" si="49"/>
        <v/>
      </c>
      <c r="U59" s="112" t="str">
        <f t="shared" si="49"/>
        <v>Focus on the use of text features</v>
      </c>
    </row>
    <row r="60">
      <c r="A60" s="42"/>
      <c r="B60" s="49"/>
      <c r="C60" s="50">
        <f t="shared" si="4"/>
        <v>0</v>
      </c>
      <c r="D60" s="3" t="str">
        <f t="shared" ref="D60:I60" si="50">if($C28&gt;$C$35,D28,"")</f>
        <v/>
      </c>
      <c r="E60" s="109" t="str">
        <f t="shared" si="50"/>
        <v/>
      </c>
      <c r="F60" s="110" t="str">
        <f t="shared" si="50"/>
        <v/>
      </c>
      <c r="G60" s="110" t="str">
        <f t="shared" si="50"/>
        <v/>
      </c>
      <c r="H60" s="110" t="str">
        <f t="shared" si="50"/>
        <v/>
      </c>
      <c r="I60" s="110" t="str">
        <f t="shared" si="50"/>
        <v/>
      </c>
      <c r="J60" s="3"/>
      <c r="K60" s="109" t="str">
        <f t="shared" si="6"/>
        <v/>
      </c>
      <c r="L60" s="113" t="b">
        <v>0</v>
      </c>
      <c r="M60" s="3" t="str">
        <f t="shared" si="8"/>
        <v/>
      </c>
      <c r="N60" s="3" t="str">
        <f t="shared" ref="N60:U60" si="51">if($L60=TRUE,D60,"")</f>
        <v/>
      </c>
      <c r="O60" s="3" t="str">
        <f t="shared" si="51"/>
        <v/>
      </c>
      <c r="P60" s="3" t="str">
        <f t="shared" si="51"/>
        <v/>
      </c>
      <c r="Q60" s="3" t="str">
        <f t="shared" si="51"/>
        <v/>
      </c>
      <c r="R60" s="3" t="str">
        <f t="shared" si="51"/>
        <v/>
      </c>
      <c r="S60" s="3" t="str">
        <f t="shared" si="51"/>
        <v/>
      </c>
      <c r="T60" s="3" t="str">
        <f t="shared" si="51"/>
        <v/>
      </c>
      <c r="U60" s="112" t="str">
        <f t="shared" si="51"/>
        <v/>
      </c>
    </row>
    <row r="61">
      <c r="A61" s="42"/>
      <c r="B61" s="86" t="s">
        <v>141</v>
      </c>
      <c r="C61" s="31">
        <f t="shared" si="4"/>
        <v>4</v>
      </c>
      <c r="D61" s="3" t="str">
        <f t="shared" ref="D61:I61" si="52">if($C29&gt;$C$35,D29,"")</f>
        <v>RI.3.7</v>
      </c>
      <c r="E61" s="109" t="str">
        <f t="shared" si="52"/>
        <v>Use information gained from illustrations (e.g., maps, photographs) and the words in a text to demonstrate understanding of the text (e.g., where, when, why, and how key events occur).</v>
      </c>
      <c r="F61" s="110" t="b">
        <f t="shared" si="52"/>
        <v>1</v>
      </c>
      <c r="G61" s="110" t="b">
        <f t="shared" si="52"/>
        <v>1</v>
      </c>
      <c r="H61" s="110" t="b">
        <f t="shared" si="52"/>
        <v>1</v>
      </c>
      <c r="I61" s="110" t="b">
        <f t="shared" si="52"/>
        <v>1</v>
      </c>
      <c r="J61" s="3"/>
      <c r="K61" s="109" t="str">
        <f t="shared" si="6"/>
        <v/>
      </c>
      <c r="L61" s="111" t="b">
        <v>1</v>
      </c>
      <c r="M61" s="3">
        <f t="shared" si="8"/>
        <v>4</v>
      </c>
      <c r="N61" s="3" t="str">
        <f t="shared" ref="N61:U61" si="53">if($L61=TRUE,D61,"")</f>
        <v>RI.3.7</v>
      </c>
      <c r="O61" s="3" t="str">
        <f t="shared" si="53"/>
        <v>Use information gained from illustrations (e.g., maps, photographs) and the words in a text to demonstrate understanding of the text (e.g., where, when, why, and how key events occur).</v>
      </c>
      <c r="P61" s="3" t="b">
        <f t="shared" si="53"/>
        <v>1</v>
      </c>
      <c r="Q61" s="3" t="b">
        <f t="shared" si="53"/>
        <v>1</v>
      </c>
      <c r="R61" s="3" t="b">
        <f t="shared" si="53"/>
        <v>1</v>
      </c>
      <c r="S61" s="3" t="b">
        <f t="shared" si="53"/>
        <v>1</v>
      </c>
      <c r="T61" s="3" t="str">
        <f t="shared" si="53"/>
        <v/>
      </c>
      <c r="U61" s="112" t="str">
        <f t="shared" si="53"/>
        <v/>
      </c>
    </row>
    <row r="62">
      <c r="A62" s="42"/>
      <c r="B62" s="42"/>
      <c r="C62" s="31">
        <f t="shared" si="4"/>
        <v>0</v>
      </c>
      <c r="D62" s="3" t="str">
        <f t="shared" ref="D62:I62" si="54">if($C30&gt;$C$35,D30,"")</f>
        <v/>
      </c>
      <c r="E62" s="109" t="str">
        <f t="shared" si="54"/>
        <v/>
      </c>
      <c r="F62" s="110" t="str">
        <f t="shared" si="54"/>
        <v/>
      </c>
      <c r="G62" s="110" t="str">
        <f t="shared" si="54"/>
        <v/>
      </c>
      <c r="H62" s="110" t="str">
        <f t="shared" si="54"/>
        <v/>
      </c>
      <c r="I62" s="110" t="str">
        <f t="shared" si="54"/>
        <v/>
      </c>
      <c r="J62" s="3"/>
      <c r="K62" s="109" t="str">
        <f t="shared" si="6"/>
        <v/>
      </c>
      <c r="L62" s="113" t="b">
        <v>0</v>
      </c>
      <c r="M62" s="3" t="str">
        <f t="shared" si="8"/>
        <v/>
      </c>
      <c r="N62" s="3" t="str">
        <f t="shared" ref="N62:U62" si="55">if($L62=TRUE,D62,"")</f>
        <v/>
      </c>
      <c r="O62" s="3" t="str">
        <f t="shared" si="55"/>
        <v/>
      </c>
      <c r="P62" s="3" t="str">
        <f t="shared" si="55"/>
        <v/>
      </c>
      <c r="Q62" s="3" t="str">
        <f t="shared" si="55"/>
        <v/>
      </c>
      <c r="R62" s="3" t="str">
        <f t="shared" si="55"/>
        <v/>
      </c>
      <c r="S62" s="3" t="str">
        <f t="shared" si="55"/>
        <v/>
      </c>
      <c r="T62" s="3" t="str">
        <f t="shared" si="55"/>
        <v/>
      </c>
      <c r="U62" s="112" t="str">
        <f t="shared" si="55"/>
        <v/>
      </c>
    </row>
    <row r="63">
      <c r="A63" s="42"/>
      <c r="B63" s="49"/>
      <c r="C63" s="50">
        <f t="shared" si="4"/>
        <v>4</v>
      </c>
      <c r="D63" s="3" t="str">
        <f t="shared" ref="D63:I63" si="56">if($C31&gt;$C$35,D31,"")</f>
        <v>RI.3.9</v>
      </c>
      <c r="E63" s="109" t="str">
        <f t="shared" si="56"/>
        <v>Compare and contrast the most important points and key details presented in two texts on the same topic.</v>
      </c>
      <c r="F63" s="110" t="b">
        <f t="shared" si="56"/>
        <v>1</v>
      </c>
      <c r="G63" s="110" t="b">
        <f t="shared" si="56"/>
        <v>1</v>
      </c>
      <c r="H63" s="110" t="b">
        <f t="shared" si="56"/>
        <v>1</v>
      </c>
      <c r="I63" s="110" t="b">
        <f t="shared" si="56"/>
        <v>1</v>
      </c>
      <c r="J63" s="3"/>
      <c r="K63" s="109" t="str">
        <f t="shared" si="6"/>
        <v/>
      </c>
      <c r="L63" s="111" t="b">
        <v>1</v>
      </c>
      <c r="M63" s="3">
        <f t="shared" si="8"/>
        <v>4</v>
      </c>
      <c r="N63" s="3" t="str">
        <f t="shared" ref="N63:U63" si="57">if($L63=TRUE,D63,"")</f>
        <v>RI.3.9</v>
      </c>
      <c r="O63" s="3" t="str">
        <f t="shared" si="57"/>
        <v>Compare and contrast the most important points and key details presented in two texts on the same topic.</v>
      </c>
      <c r="P63" s="3" t="b">
        <f t="shared" si="57"/>
        <v>1</v>
      </c>
      <c r="Q63" s="3" t="b">
        <f t="shared" si="57"/>
        <v>1</v>
      </c>
      <c r="R63" s="3" t="b">
        <f t="shared" si="57"/>
        <v>1</v>
      </c>
      <c r="S63" s="3" t="b">
        <f t="shared" si="57"/>
        <v>1</v>
      </c>
      <c r="T63" s="3" t="str">
        <f t="shared" si="57"/>
        <v/>
      </c>
      <c r="U63" s="112" t="str">
        <f t="shared" si="57"/>
        <v/>
      </c>
    </row>
    <row r="64">
      <c r="A64" s="49"/>
      <c r="B64" s="90" t="s">
        <v>156</v>
      </c>
      <c r="C64" s="31">
        <f t="shared" si="4"/>
        <v>4</v>
      </c>
      <c r="D64" s="3" t="str">
        <f t="shared" ref="D64:I64" si="58">if($C32&gt;$C$35,D32,"")</f>
        <v>RI.3.10</v>
      </c>
      <c r="E64" s="109" t="str">
        <f t="shared" si="58"/>
        <v>By the end of the year, read and comprehend informational texts, including history/social studies, science, and technical texts, at the high end of the grades 2–3 text complexity band independently and proficiently.</v>
      </c>
      <c r="F64" s="110" t="b">
        <f t="shared" si="58"/>
        <v>1</v>
      </c>
      <c r="G64" s="110" t="b">
        <f t="shared" si="58"/>
        <v>1</v>
      </c>
      <c r="H64" s="110" t="b">
        <f t="shared" si="58"/>
        <v>1</v>
      </c>
      <c r="I64" s="110" t="b">
        <f t="shared" si="58"/>
        <v>1</v>
      </c>
      <c r="J64" s="3"/>
      <c r="K64" s="109" t="str">
        <f t="shared" si="6"/>
        <v>Teacher responsibility</v>
      </c>
      <c r="L64" s="111" t="b">
        <v>0</v>
      </c>
      <c r="M64" s="3" t="str">
        <f t="shared" si="8"/>
        <v/>
      </c>
      <c r="N64" s="3" t="str">
        <f t="shared" ref="N64:U64" si="59">if($L64=TRUE,D64,"")</f>
        <v/>
      </c>
      <c r="O64" s="3" t="str">
        <f t="shared" si="59"/>
        <v/>
      </c>
      <c r="P64" s="3" t="str">
        <f t="shared" si="59"/>
        <v/>
      </c>
      <c r="Q64" s="3" t="str">
        <f t="shared" si="59"/>
        <v/>
      </c>
      <c r="R64" s="3" t="str">
        <f t="shared" si="59"/>
        <v/>
      </c>
      <c r="S64" s="3" t="str">
        <f t="shared" si="59"/>
        <v/>
      </c>
      <c r="T64" s="3" t="str">
        <f t="shared" si="59"/>
        <v/>
      </c>
      <c r="U64" s="112" t="str">
        <f t="shared" si="59"/>
        <v/>
      </c>
    </row>
  </sheetData>
  <mergeCells count="30">
    <mergeCell ref="B10:B13"/>
    <mergeCell ref="B14:B16"/>
    <mergeCell ref="A2:B2"/>
    <mergeCell ref="C2:K2"/>
    <mergeCell ref="A3:K3"/>
    <mergeCell ref="A4:B4"/>
    <mergeCell ref="A5:A13"/>
    <mergeCell ref="B5:B9"/>
    <mergeCell ref="A14:A23"/>
    <mergeCell ref="B17:B19"/>
    <mergeCell ref="B20:B21"/>
    <mergeCell ref="B23:B25"/>
    <mergeCell ref="A24:A32"/>
    <mergeCell ref="B26:B28"/>
    <mergeCell ref="B29:B31"/>
    <mergeCell ref="F34:G34"/>
    <mergeCell ref="B46:B48"/>
    <mergeCell ref="B49:B51"/>
    <mergeCell ref="B52:B53"/>
    <mergeCell ref="B55:B57"/>
    <mergeCell ref="A56:A64"/>
    <mergeCell ref="B58:B60"/>
    <mergeCell ref="B61:B63"/>
    <mergeCell ref="A34:B34"/>
    <mergeCell ref="A35:B35"/>
    <mergeCell ref="A36:B36"/>
    <mergeCell ref="A37:A45"/>
    <mergeCell ref="B37:B41"/>
    <mergeCell ref="B42:B45"/>
    <mergeCell ref="A46:A55"/>
  </mergeCells>
  <conditionalFormatting sqref="F37:I64">
    <cfRule type="cellIs" dxfId="0" priority="1" operator="equal">
      <formula>"TRUE"</formula>
    </cfRule>
  </conditionalFormatting>
  <conditionalFormatting sqref="F37:I64">
    <cfRule type="cellIs" dxfId="1" priority="2" operator="equal">
      <formula>"FALSE"</formula>
    </cfRule>
  </conditionalFormatting>
  <conditionalFormatting sqref="D34">
    <cfRule type="expression" dxfId="2" priority="3">
      <formula>D34&gt;K34</formula>
    </cfRule>
  </conditionalFormatting>
  <conditionalFormatting sqref="D34">
    <cfRule type="expression" dxfId="3" priority="4">
      <formula>D34&lt;=K34</formula>
    </cfRule>
  </conditionalFormatting>
  <conditionalFormatting sqref="C5:C32 C37:C64">
    <cfRule type="cellIs" dxfId="4" priority="5" operator="equal">
      <formula>0</formula>
    </cfRule>
  </conditionalFormatting>
  <conditionalFormatting sqref="C5:C32 C37:C64">
    <cfRule type="cellIs" dxfId="5" priority="6" operator="equal">
      <formula>1</formula>
    </cfRule>
  </conditionalFormatting>
  <conditionalFormatting sqref="C5:C32 C37:C64">
    <cfRule type="cellIs" dxfId="6" priority="7" operator="equal">
      <formula>2</formula>
    </cfRule>
  </conditionalFormatting>
  <conditionalFormatting sqref="C5:C32 C37:C64">
    <cfRule type="cellIs" dxfId="7" priority="8" operator="equal">
      <formula>3</formula>
    </cfRule>
  </conditionalFormatting>
  <conditionalFormatting sqref="C5:C32 C37:C64">
    <cfRule type="cellIs" dxfId="8" priority="9" operator="equal">
      <formula>4</formula>
    </cfRule>
  </conditionalFormatting>
  <drawing r:id="rId2"/>
  <legacyDrawing r:id="rId3"/>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6D9EEB"/>
    <outlinePr summaryBelow="0" summaryRight="0"/>
  </sheetPr>
  <sheetViews>
    <sheetView workbookViewId="0"/>
  </sheetViews>
  <sheetFormatPr customHeight="1" defaultColWidth="14.43" defaultRowHeight="15.75" outlineLevelCol="1" outlineLevelRow="1"/>
  <cols>
    <col customWidth="1" min="1" max="1" width="5.14"/>
    <col customWidth="1" min="2" max="2" width="15.86"/>
    <col customWidth="1" min="3" max="3" width="5.14"/>
    <col customWidth="1" min="4" max="4" width="10.86"/>
    <col customWidth="1" min="5" max="5" width="57.29"/>
    <col customWidth="1" min="6" max="9" width="3.0"/>
    <col customWidth="1" min="10" max="10" width="0.86"/>
    <col customWidth="1" min="11" max="11" width="43.0"/>
    <col collapsed="1" customWidth="1" min="12" max="12" width="9.0"/>
    <col hidden="1" min="13" max="21" width="14.43" outlineLevel="1"/>
  </cols>
  <sheetData>
    <row r="1" ht="7.5" customHeight="1">
      <c r="B1" s="2"/>
      <c r="C1" s="4"/>
      <c r="D1" s="4"/>
      <c r="E1" s="4"/>
      <c r="F1" s="4"/>
      <c r="G1" s="4"/>
      <c r="H1" s="4"/>
      <c r="I1" s="4"/>
      <c r="J1" s="4"/>
      <c r="K1" s="4"/>
      <c r="U1" s="12"/>
    </row>
    <row r="2" ht="42.75" customHeight="1" outlineLevel="1">
      <c r="A2" s="6" t="s">
        <v>2</v>
      </c>
      <c r="C2" s="115" t="s">
        <v>290</v>
      </c>
      <c r="U2" s="12"/>
    </row>
    <row r="3">
      <c r="A3" s="10" t="s">
        <v>295</v>
      </c>
      <c r="B3" s="11"/>
      <c r="C3" s="11"/>
      <c r="D3" s="11"/>
      <c r="E3" s="11"/>
      <c r="F3" s="11"/>
      <c r="G3" s="11"/>
      <c r="H3" s="11"/>
      <c r="I3" s="11"/>
      <c r="J3" s="11"/>
      <c r="K3" s="13"/>
      <c r="U3" s="12"/>
    </row>
    <row r="4" outlineLevel="1">
      <c r="A4" s="33" t="s">
        <v>8</v>
      </c>
      <c r="B4" s="20"/>
      <c r="C4" s="35" t="s">
        <v>10</v>
      </c>
      <c r="D4" s="37" t="s">
        <v>11</v>
      </c>
      <c r="E4" s="39" t="s">
        <v>12</v>
      </c>
      <c r="F4" s="35" t="s">
        <v>13</v>
      </c>
      <c r="G4" s="35" t="s">
        <v>14</v>
      </c>
      <c r="H4" s="35" t="s">
        <v>15</v>
      </c>
      <c r="I4" s="35" t="s">
        <v>16</v>
      </c>
      <c r="J4" s="35"/>
      <c r="K4" s="35" t="s">
        <v>17</v>
      </c>
      <c r="U4" s="12"/>
    </row>
    <row r="5" outlineLevel="1">
      <c r="A5" s="27" t="s">
        <v>18</v>
      </c>
      <c r="B5" s="30" t="s">
        <v>25</v>
      </c>
      <c r="C5" s="31">
        <f t="shared" ref="C5:C29" si="1">countif(F5:I5,TRUE)</f>
        <v>3</v>
      </c>
      <c r="D5" s="41" t="s">
        <v>312</v>
      </c>
      <c r="E5" s="43" t="s">
        <v>76</v>
      </c>
      <c r="F5" s="118" t="b">
        <v>1</v>
      </c>
      <c r="G5" s="118" t="b">
        <v>1</v>
      </c>
      <c r="H5" s="120" t="b">
        <v>0</v>
      </c>
      <c r="I5" s="118" t="b">
        <v>1</v>
      </c>
      <c r="J5" s="121"/>
      <c r="K5" s="122" t="s">
        <v>323</v>
      </c>
      <c r="U5" s="12"/>
    </row>
    <row r="6" outlineLevel="1">
      <c r="A6" s="42"/>
      <c r="B6" s="49"/>
      <c r="C6" s="50">
        <f t="shared" si="1"/>
        <v>3</v>
      </c>
      <c r="D6" s="52" t="s">
        <v>329</v>
      </c>
      <c r="E6" s="53" t="s">
        <v>331</v>
      </c>
      <c r="F6" s="123" t="b">
        <v>1</v>
      </c>
      <c r="G6" s="123" t="b">
        <v>1</v>
      </c>
      <c r="H6" s="126" t="b">
        <v>0</v>
      </c>
      <c r="I6" s="123" t="b">
        <v>1</v>
      </c>
      <c r="J6" s="127"/>
      <c r="K6" s="128" t="s">
        <v>349</v>
      </c>
      <c r="U6" s="12"/>
    </row>
    <row r="7" outlineLevel="1">
      <c r="A7" s="42"/>
      <c r="B7" s="63" t="s">
        <v>66</v>
      </c>
      <c r="C7" s="31">
        <f t="shared" si="1"/>
        <v>3</v>
      </c>
      <c r="D7" s="41" t="s">
        <v>357</v>
      </c>
      <c r="E7" s="43" t="s">
        <v>291</v>
      </c>
      <c r="F7" s="118" t="b">
        <v>1</v>
      </c>
      <c r="G7" s="118" t="b">
        <v>1</v>
      </c>
      <c r="H7" s="118" t="b">
        <v>0</v>
      </c>
      <c r="I7" s="118" t="b">
        <v>1</v>
      </c>
      <c r="J7" s="131"/>
      <c r="K7" s="47" t="s">
        <v>292</v>
      </c>
      <c r="U7" s="12"/>
    </row>
    <row r="8" outlineLevel="1">
      <c r="A8" s="42"/>
      <c r="B8" s="42"/>
      <c r="C8" s="31">
        <f t="shared" si="1"/>
        <v>4</v>
      </c>
      <c r="D8" s="41" t="s">
        <v>364</v>
      </c>
      <c r="E8" s="43" t="s">
        <v>128</v>
      </c>
      <c r="F8" s="118" t="b">
        <v>1</v>
      </c>
      <c r="G8" s="118" t="b">
        <v>1</v>
      </c>
      <c r="H8" s="118" t="b">
        <v>1</v>
      </c>
      <c r="I8" s="118" t="b">
        <v>1</v>
      </c>
      <c r="J8" s="131"/>
      <c r="K8" s="47" t="s">
        <v>294</v>
      </c>
      <c r="U8" s="12"/>
    </row>
    <row r="9" outlineLevel="1">
      <c r="A9" s="42"/>
      <c r="B9" s="42"/>
      <c r="C9" s="31">
        <f t="shared" si="1"/>
        <v>0</v>
      </c>
      <c r="D9" s="41" t="s">
        <v>367</v>
      </c>
      <c r="E9" s="43" t="s">
        <v>368</v>
      </c>
      <c r="F9" s="120" t="b">
        <v>0</v>
      </c>
      <c r="G9" s="120" t="b">
        <v>0</v>
      </c>
      <c r="H9" s="120" t="b">
        <v>0</v>
      </c>
      <c r="I9" s="120" t="b">
        <v>0</v>
      </c>
      <c r="J9" s="131"/>
      <c r="K9" s="48"/>
      <c r="U9" s="12"/>
    </row>
    <row r="10" outlineLevel="1">
      <c r="A10" s="49"/>
      <c r="B10" s="49"/>
      <c r="C10" s="50">
        <f t="shared" si="1"/>
        <v>3</v>
      </c>
      <c r="D10" s="52" t="s">
        <v>372</v>
      </c>
      <c r="E10" s="53" t="s">
        <v>99</v>
      </c>
      <c r="F10" s="123" t="b">
        <v>1</v>
      </c>
      <c r="G10" s="123" t="b">
        <v>1</v>
      </c>
      <c r="H10" s="126" t="b">
        <v>0</v>
      </c>
      <c r="I10" s="123" t="b">
        <v>1</v>
      </c>
      <c r="J10" s="127"/>
      <c r="K10" s="61" t="s">
        <v>300</v>
      </c>
      <c r="U10" s="12"/>
    </row>
    <row r="11" outlineLevel="1">
      <c r="A11" s="75" t="s">
        <v>102</v>
      </c>
      <c r="B11" s="67" t="s">
        <v>107</v>
      </c>
      <c r="C11" s="31">
        <f t="shared" si="1"/>
        <v>4</v>
      </c>
      <c r="D11" s="41" t="s">
        <v>377</v>
      </c>
      <c r="E11" s="43" t="s">
        <v>378</v>
      </c>
      <c r="F11" s="118" t="b">
        <v>1</v>
      </c>
      <c r="G11" s="118" t="b">
        <v>1</v>
      </c>
      <c r="H11" s="118" t="b">
        <v>1</v>
      </c>
      <c r="I11" s="118" t="b">
        <v>1</v>
      </c>
      <c r="J11" s="131"/>
      <c r="K11" s="128" t="s">
        <v>379</v>
      </c>
      <c r="U11" s="12"/>
    </row>
    <row r="12" outlineLevel="1">
      <c r="A12" s="42"/>
      <c r="B12" s="42"/>
      <c r="C12" s="31">
        <f t="shared" si="1"/>
        <v>3</v>
      </c>
      <c r="D12" s="41" t="s">
        <v>382</v>
      </c>
      <c r="E12" s="43" t="s">
        <v>383</v>
      </c>
      <c r="F12" s="118" t="b">
        <v>1</v>
      </c>
      <c r="G12" s="118" t="b">
        <v>1</v>
      </c>
      <c r="H12" s="118" t="b">
        <v>1</v>
      </c>
      <c r="I12" s="120" t="b">
        <v>0</v>
      </c>
      <c r="J12" s="131"/>
      <c r="K12" s="128" t="s">
        <v>385</v>
      </c>
      <c r="U12" s="12"/>
    </row>
    <row r="13" outlineLevel="1">
      <c r="A13" s="42"/>
      <c r="B13" s="49"/>
      <c r="C13" s="50">
        <f t="shared" si="1"/>
        <v>3</v>
      </c>
      <c r="D13" s="52" t="s">
        <v>386</v>
      </c>
      <c r="E13" s="76" t="s">
        <v>387</v>
      </c>
      <c r="F13" s="123" t="b">
        <v>1</v>
      </c>
      <c r="G13" s="123" t="b">
        <v>1</v>
      </c>
      <c r="H13" s="123" t="b">
        <v>1</v>
      </c>
      <c r="I13" s="126" t="b">
        <v>0</v>
      </c>
      <c r="J13" s="127"/>
      <c r="K13" s="128" t="s">
        <v>388</v>
      </c>
      <c r="U13" s="12"/>
    </row>
    <row r="14" outlineLevel="1">
      <c r="A14" s="42"/>
      <c r="B14" s="71" t="s">
        <v>123</v>
      </c>
      <c r="C14" s="31">
        <f t="shared" si="1"/>
        <v>4</v>
      </c>
      <c r="D14" s="41" t="s">
        <v>391</v>
      </c>
      <c r="E14" s="125" t="s">
        <v>392</v>
      </c>
      <c r="F14" s="118" t="b">
        <v>1</v>
      </c>
      <c r="G14" s="118" t="b">
        <v>1</v>
      </c>
      <c r="H14" s="118" t="b">
        <v>1</v>
      </c>
      <c r="I14" s="118" t="b">
        <v>1</v>
      </c>
      <c r="J14" s="131"/>
      <c r="K14" s="46" t="s">
        <v>394</v>
      </c>
      <c r="U14" s="12"/>
    </row>
    <row r="15" outlineLevel="1">
      <c r="A15" s="42"/>
      <c r="B15" s="42"/>
      <c r="C15" s="31">
        <f t="shared" si="1"/>
        <v>0</v>
      </c>
      <c r="D15" s="41" t="s">
        <v>397</v>
      </c>
      <c r="E15" s="43" t="s">
        <v>398</v>
      </c>
      <c r="F15" s="118" t="b">
        <v>0</v>
      </c>
      <c r="G15" s="118" t="b">
        <v>0</v>
      </c>
      <c r="H15" s="120" t="b">
        <v>0</v>
      </c>
      <c r="I15" s="120" t="b">
        <v>0</v>
      </c>
      <c r="J15" s="131"/>
      <c r="K15" s="128"/>
      <c r="U15" s="12"/>
    </row>
    <row r="16" outlineLevel="1">
      <c r="A16" s="42"/>
      <c r="B16" s="49"/>
      <c r="C16" s="50">
        <f t="shared" si="1"/>
        <v>3</v>
      </c>
      <c r="D16" s="52" t="s">
        <v>403</v>
      </c>
      <c r="E16" s="53" t="s">
        <v>404</v>
      </c>
      <c r="F16" s="123" t="b">
        <v>1</v>
      </c>
      <c r="G16" s="123" t="b">
        <v>1</v>
      </c>
      <c r="H16" s="123" t="b">
        <v>1</v>
      </c>
      <c r="I16" s="126" t="b">
        <v>0</v>
      </c>
      <c r="J16" s="127"/>
      <c r="K16" s="46" t="s">
        <v>407</v>
      </c>
      <c r="U16" s="12"/>
    </row>
    <row r="17" outlineLevel="1">
      <c r="A17" s="42"/>
      <c r="B17" s="74" t="s">
        <v>141</v>
      </c>
      <c r="C17" s="31">
        <f t="shared" si="1"/>
        <v>1</v>
      </c>
      <c r="D17" s="41" t="s">
        <v>411</v>
      </c>
      <c r="E17" s="43" t="s">
        <v>412</v>
      </c>
      <c r="F17" s="118" t="b">
        <v>1</v>
      </c>
      <c r="G17" s="120" t="b">
        <v>0</v>
      </c>
      <c r="H17" s="120" t="b">
        <v>0</v>
      </c>
      <c r="I17" s="120" t="b">
        <v>0</v>
      </c>
      <c r="J17" s="131"/>
      <c r="K17" s="131"/>
      <c r="U17" s="12"/>
    </row>
    <row r="18" outlineLevel="1">
      <c r="A18" s="42"/>
      <c r="B18" s="49"/>
      <c r="C18" s="50">
        <f t="shared" si="1"/>
        <v>1</v>
      </c>
      <c r="D18" s="52" t="s">
        <v>414</v>
      </c>
      <c r="E18" s="53" t="s">
        <v>415</v>
      </c>
      <c r="F18" s="123" t="b">
        <v>1</v>
      </c>
      <c r="G18" s="126" t="b">
        <v>0</v>
      </c>
      <c r="H18" s="126" t="b">
        <v>0</v>
      </c>
      <c r="I18" s="126" t="b">
        <v>0</v>
      </c>
      <c r="J18" s="127"/>
      <c r="K18" s="127"/>
      <c r="U18" s="12"/>
    </row>
    <row r="19" outlineLevel="1">
      <c r="A19" s="42"/>
      <c r="B19" s="78" t="s">
        <v>156</v>
      </c>
      <c r="C19" s="50">
        <f t="shared" si="1"/>
        <v>4</v>
      </c>
      <c r="D19" s="52" t="s">
        <v>418</v>
      </c>
      <c r="E19" s="53" t="s">
        <v>419</v>
      </c>
      <c r="F19" s="123" t="b">
        <v>1</v>
      </c>
      <c r="G19" s="123" t="b">
        <v>1</v>
      </c>
      <c r="H19" s="123" t="b">
        <v>1</v>
      </c>
      <c r="I19" s="123" t="b">
        <v>1</v>
      </c>
      <c r="J19" s="127"/>
      <c r="K19" s="121" t="s">
        <v>421</v>
      </c>
      <c r="U19" s="12"/>
    </row>
    <row r="20" outlineLevel="1">
      <c r="A20" s="49"/>
      <c r="B20" s="79" t="s">
        <v>107</v>
      </c>
      <c r="C20" s="31">
        <f t="shared" si="1"/>
        <v>4</v>
      </c>
      <c r="D20" s="41" t="s">
        <v>422</v>
      </c>
      <c r="E20" s="43" t="s">
        <v>378</v>
      </c>
      <c r="F20" s="118" t="b">
        <v>1</v>
      </c>
      <c r="G20" s="118" t="b">
        <v>1</v>
      </c>
      <c r="H20" s="118" t="b">
        <v>1</v>
      </c>
      <c r="I20" s="118" t="b">
        <v>1</v>
      </c>
      <c r="J20" s="100"/>
      <c r="K20" s="138"/>
      <c r="U20" s="12"/>
    </row>
    <row r="21" outlineLevel="1">
      <c r="A21" s="87" t="s">
        <v>183</v>
      </c>
      <c r="B21" s="42"/>
      <c r="C21" s="31">
        <f t="shared" si="1"/>
        <v>4</v>
      </c>
      <c r="D21" s="41" t="s">
        <v>428</v>
      </c>
      <c r="E21" s="43" t="s">
        <v>429</v>
      </c>
      <c r="F21" s="118" t="b">
        <v>1</v>
      </c>
      <c r="G21" s="118" t="b">
        <v>1</v>
      </c>
      <c r="H21" s="118" t="b">
        <v>1</v>
      </c>
      <c r="I21" s="118" t="b">
        <v>1</v>
      </c>
      <c r="J21" s="100"/>
      <c r="K21" s="138"/>
      <c r="U21" s="12"/>
    </row>
    <row r="22" outlineLevel="1">
      <c r="A22" s="42"/>
      <c r="B22" s="49"/>
      <c r="C22" s="50">
        <f t="shared" si="1"/>
        <v>4</v>
      </c>
      <c r="D22" s="52" t="s">
        <v>433</v>
      </c>
      <c r="E22" s="53" t="s">
        <v>434</v>
      </c>
      <c r="F22" s="123" t="b">
        <v>1</v>
      </c>
      <c r="G22" s="123" t="b">
        <v>1</v>
      </c>
      <c r="H22" s="123" t="b">
        <v>1</v>
      </c>
      <c r="I22" s="123" t="b">
        <v>1</v>
      </c>
      <c r="J22" s="140"/>
      <c r="K22" s="138"/>
      <c r="U22" s="12"/>
    </row>
    <row r="23" outlineLevel="1">
      <c r="A23" s="42"/>
      <c r="B23" s="83" t="s">
        <v>123</v>
      </c>
      <c r="C23" s="31">
        <f t="shared" si="1"/>
        <v>4</v>
      </c>
      <c r="D23" s="41" t="s">
        <v>440</v>
      </c>
      <c r="E23" s="43" t="s">
        <v>441</v>
      </c>
      <c r="F23" s="118" t="b">
        <v>1</v>
      </c>
      <c r="G23" s="118" t="b">
        <v>1</v>
      </c>
      <c r="H23" s="118" t="b">
        <v>1</v>
      </c>
      <c r="I23" s="118" t="b">
        <v>1</v>
      </c>
      <c r="J23" s="100"/>
      <c r="K23" s="138"/>
      <c r="U23" s="12"/>
    </row>
    <row r="24" outlineLevel="1">
      <c r="A24" s="42"/>
      <c r="B24" s="42"/>
      <c r="C24" s="31">
        <f t="shared" si="1"/>
        <v>1</v>
      </c>
      <c r="D24" s="41" t="s">
        <v>445</v>
      </c>
      <c r="E24" s="43" t="s">
        <v>446</v>
      </c>
      <c r="F24" s="118" t="b">
        <v>1</v>
      </c>
      <c r="G24" s="120" t="b">
        <v>0</v>
      </c>
      <c r="H24" s="120" t="b">
        <v>0</v>
      </c>
      <c r="I24" s="118" t="b">
        <v>0</v>
      </c>
      <c r="J24" s="100"/>
      <c r="K24" s="138"/>
      <c r="U24" s="12"/>
    </row>
    <row r="25" outlineLevel="1">
      <c r="A25" s="42"/>
      <c r="B25" s="49"/>
      <c r="C25" s="50">
        <f t="shared" si="1"/>
        <v>3</v>
      </c>
      <c r="D25" s="52" t="s">
        <v>448</v>
      </c>
      <c r="E25" s="53" t="s">
        <v>449</v>
      </c>
      <c r="F25" s="123" t="b">
        <v>1</v>
      </c>
      <c r="G25" s="123" t="b">
        <v>1</v>
      </c>
      <c r="H25" s="126" t="b">
        <v>0</v>
      </c>
      <c r="I25" s="123" t="b">
        <v>1</v>
      </c>
      <c r="J25" s="140"/>
      <c r="K25" s="142"/>
      <c r="U25" s="12"/>
    </row>
    <row r="26" outlineLevel="1">
      <c r="A26" s="42"/>
      <c r="B26" s="86" t="s">
        <v>141</v>
      </c>
      <c r="C26" s="31">
        <f t="shared" si="1"/>
        <v>4</v>
      </c>
      <c r="D26" s="41" t="s">
        <v>456</v>
      </c>
      <c r="E26" s="43" t="s">
        <v>458</v>
      </c>
      <c r="F26" s="118" t="b">
        <v>1</v>
      </c>
      <c r="G26" s="118" t="b">
        <v>1</v>
      </c>
      <c r="H26" s="118" t="b">
        <v>1</v>
      </c>
      <c r="I26" s="118" t="b">
        <v>1</v>
      </c>
      <c r="J26" s="131"/>
      <c r="K26" s="131"/>
      <c r="U26" s="12"/>
    </row>
    <row r="27" outlineLevel="1">
      <c r="A27" s="42"/>
      <c r="B27" s="42"/>
      <c r="C27" s="31">
        <f t="shared" si="1"/>
        <v>3</v>
      </c>
      <c r="D27" s="41" t="s">
        <v>461</v>
      </c>
      <c r="E27" s="43" t="s">
        <v>462</v>
      </c>
      <c r="F27" s="118" t="b">
        <v>1</v>
      </c>
      <c r="G27" s="118" t="b">
        <v>1</v>
      </c>
      <c r="H27" s="120" t="b">
        <v>0</v>
      </c>
      <c r="I27" s="118" t="b">
        <v>1</v>
      </c>
      <c r="J27" s="131"/>
      <c r="K27" s="121" t="s">
        <v>463</v>
      </c>
      <c r="U27" s="12"/>
    </row>
    <row r="28" outlineLevel="1">
      <c r="A28" s="42"/>
      <c r="B28" s="49"/>
      <c r="C28" s="50">
        <f t="shared" si="1"/>
        <v>4</v>
      </c>
      <c r="D28" s="52" t="s">
        <v>464</v>
      </c>
      <c r="E28" s="53" t="s">
        <v>465</v>
      </c>
      <c r="F28" s="123" t="b">
        <v>1</v>
      </c>
      <c r="G28" s="123" t="b">
        <v>1</v>
      </c>
      <c r="H28" s="123" t="b">
        <v>1</v>
      </c>
      <c r="I28" s="123" t="b">
        <v>1</v>
      </c>
      <c r="J28" s="127"/>
      <c r="K28" s="144" t="s">
        <v>468</v>
      </c>
      <c r="U28" s="12"/>
    </row>
    <row r="29" outlineLevel="1">
      <c r="A29" s="49"/>
      <c r="B29" s="90" t="s">
        <v>156</v>
      </c>
      <c r="C29" s="31">
        <f t="shared" si="1"/>
        <v>4</v>
      </c>
      <c r="D29" s="52" t="s">
        <v>470</v>
      </c>
      <c r="E29" s="53" t="s">
        <v>471</v>
      </c>
      <c r="F29" s="123" t="b">
        <v>1</v>
      </c>
      <c r="G29" s="123" t="b">
        <v>1</v>
      </c>
      <c r="H29" s="123" t="b">
        <v>1</v>
      </c>
      <c r="I29" s="123" t="b">
        <v>1</v>
      </c>
      <c r="J29" s="144"/>
      <c r="K29" s="144" t="s">
        <v>472</v>
      </c>
      <c r="U29" s="12"/>
    </row>
    <row r="30" outlineLevel="1">
      <c r="A30" s="91"/>
      <c r="B30" s="91"/>
      <c r="C30" s="91"/>
      <c r="D30" s="91"/>
      <c r="E30" s="91"/>
      <c r="F30" s="91"/>
      <c r="G30" s="91"/>
      <c r="H30" s="91"/>
      <c r="I30" s="91"/>
      <c r="J30" s="91"/>
      <c r="K30" s="91"/>
      <c r="U30" s="12"/>
    </row>
    <row r="31" ht="75.0" customHeight="1" outlineLevel="1">
      <c r="A31" s="93" t="s">
        <v>2</v>
      </c>
      <c r="C31" s="94" t="s">
        <v>257</v>
      </c>
      <c r="D31" s="8">
        <f>countif(L34:L58,TRUE)</f>
        <v>8</v>
      </c>
      <c r="E31" s="8" t="s">
        <v>473</v>
      </c>
      <c r="F31" s="94" t="s">
        <v>263</v>
      </c>
      <c r="H31" s="97">
        <f>IFERROR(__xludf.DUMMYFUNCTION("COUNTUNIQUE(D5:D29)"),25.0)</f>
        <v>25</v>
      </c>
      <c r="I31" s="98" t="s">
        <v>264</v>
      </c>
      <c r="J31" s="99"/>
      <c r="K31" s="99">
        <f>H31/3</f>
        <v>8.333333333</v>
      </c>
      <c r="L31" s="100"/>
      <c r="M31" s="100"/>
      <c r="N31" s="100"/>
      <c r="O31" s="100"/>
      <c r="P31" s="100"/>
      <c r="Q31" s="100"/>
      <c r="R31" s="100"/>
      <c r="S31" s="100"/>
      <c r="T31" s="100"/>
      <c r="U31" s="102"/>
    </row>
    <row r="32">
      <c r="A32" s="103" t="s">
        <v>272</v>
      </c>
      <c r="B32" s="104"/>
      <c r="C32" s="105">
        <v>1.0</v>
      </c>
      <c r="D32" s="3"/>
      <c r="E32" s="106" t="s">
        <v>274</v>
      </c>
      <c r="F32" s="3"/>
      <c r="G32" s="3"/>
      <c r="H32" s="3"/>
      <c r="I32" s="3"/>
      <c r="J32" s="3"/>
      <c r="K32" s="3"/>
      <c r="U32" s="12"/>
    </row>
    <row r="33">
      <c r="A33" s="107" t="s">
        <v>8</v>
      </c>
      <c r="B33" s="20"/>
      <c r="C33" s="23" t="s">
        <v>10</v>
      </c>
      <c r="D33" s="108" t="s">
        <v>11</v>
      </c>
      <c r="E33" s="26" t="s">
        <v>12</v>
      </c>
      <c r="F33" s="23" t="s">
        <v>13</v>
      </c>
      <c r="G33" s="23" t="s">
        <v>14</v>
      </c>
      <c r="H33" s="23" t="s">
        <v>15</v>
      </c>
      <c r="I33" s="23" t="s">
        <v>16</v>
      </c>
      <c r="J33" s="23"/>
      <c r="K33" s="23" t="s">
        <v>17</v>
      </c>
      <c r="L33" s="25" t="s">
        <v>275</v>
      </c>
      <c r="U33" s="12"/>
    </row>
    <row r="34">
      <c r="A34" s="27" t="s">
        <v>18</v>
      </c>
      <c r="B34" s="30" t="s">
        <v>25</v>
      </c>
      <c r="C34" s="31">
        <f t="shared" ref="C34:C58" si="4">countif(F34:I34,TRUE)</f>
        <v>3</v>
      </c>
      <c r="D34" s="3" t="str">
        <f t="shared" ref="D34:I34" si="2">if($C5&gt;$C$32,D5,"")</f>
        <v>RF.4.3</v>
      </c>
      <c r="E34" s="109" t="str">
        <f t="shared" si="2"/>
        <v>Know and apply grade-level phonics and word analysis skills in decoding words.</v>
      </c>
      <c r="F34" s="110" t="b">
        <f t="shared" si="2"/>
        <v>1</v>
      </c>
      <c r="G34" s="110" t="b">
        <f t="shared" si="2"/>
        <v>1</v>
      </c>
      <c r="H34" s="110" t="b">
        <f t="shared" si="2"/>
        <v>0</v>
      </c>
      <c r="I34" s="110" t="b">
        <f t="shared" si="2"/>
        <v>1</v>
      </c>
      <c r="J34" s="3"/>
      <c r="K34" s="109" t="str">
        <f t="shared" ref="K34:K58" si="6">if($C5&gt;$C$32,K5,"")</f>
        <v>R - Applied going forward 
E - Throughout the year 
L - Decoding</v>
      </c>
      <c r="L34" s="147" t="b">
        <v>0</v>
      </c>
      <c r="M34" s="3" t="str">
        <f t="shared" ref="M34:U34" si="3">if($L34=TRUE,C34,"")</f>
        <v/>
      </c>
      <c r="N34" s="3" t="str">
        <f t="shared" si="3"/>
        <v/>
      </c>
      <c r="O34" s="3" t="str">
        <f t="shared" si="3"/>
        <v/>
      </c>
      <c r="P34" s="3" t="str">
        <f t="shared" si="3"/>
        <v/>
      </c>
      <c r="Q34" s="3" t="str">
        <f t="shared" si="3"/>
        <v/>
      </c>
      <c r="R34" s="3" t="str">
        <f t="shared" si="3"/>
        <v/>
      </c>
      <c r="S34" s="3" t="str">
        <f t="shared" si="3"/>
        <v/>
      </c>
      <c r="T34" s="3" t="str">
        <f t="shared" si="3"/>
        <v/>
      </c>
      <c r="U34" s="112" t="str">
        <f t="shared" si="3"/>
        <v/>
      </c>
    </row>
    <row r="35">
      <c r="A35" s="42"/>
      <c r="B35" s="49"/>
      <c r="C35" s="50">
        <f t="shared" si="4"/>
        <v>3</v>
      </c>
      <c r="D35" s="3" t="str">
        <f t="shared" ref="D35:I35" si="5">if($C6&gt;$C$32,D6,"")</f>
        <v>RF.4.3a</v>
      </c>
      <c r="E35" s="109" t="str">
        <f t="shared" si="5"/>
        <v>Use combined knowledge of all lettersound correspondences, syllabication patterns, and morphology (e.g., roots and affixes) to read accurately unfamiliar multisyllabic words in context and out of context.</v>
      </c>
      <c r="F35" s="110" t="b">
        <f t="shared" si="5"/>
        <v>1</v>
      </c>
      <c r="G35" s="110" t="b">
        <f t="shared" si="5"/>
        <v>1</v>
      </c>
      <c r="H35" s="110" t="b">
        <f t="shared" si="5"/>
        <v>0</v>
      </c>
      <c r="I35" s="110" t="b">
        <f t="shared" si="5"/>
        <v>1</v>
      </c>
      <c r="J35" s="3"/>
      <c r="K35" s="109" t="str">
        <f t="shared" si="6"/>
        <v>R - A combination of everything from third and applies going forward
E - Will be used throughout the year
L - multisyllabic words</v>
      </c>
      <c r="L35" s="147" t="b">
        <v>0</v>
      </c>
      <c r="M35" s="3" t="str">
        <f t="shared" ref="M35:U35" si="7">if($L35=TRUE,C35,"")</f>
        <v/>
      </c>
      <c r="N35" s="3" t="str">
        <f t="shared" si="7"/>
        <v/>
      </c>
      <c r="O35" s="3" t="str">
        <f t="shared" si="7"/>
        <v/>
      </c>
      <c r="P35" s="3" t="str">
        <f t="shared" si="7"/>
        <v/>
      </c>
      <c r="Q35" s="3" t="str">
        <f t="shared" si="7"/>
        <v/>
      </c>
      <c r="R35" s="3" t="str">
        <f t="shared" si="7"/>
        <v/>
      </c>
      <c r="S35" s="3" t="str">
        <f t="shared" si="7"/>
        <v/>
      </c>
      <c r="T35" s="3" t="str">
        <f t="shared" si="7"/>
        <v/>
      </c>
      <c r="U35" s="112" t="str">
        <f t="shared" si="7"/>
        <v/>
      </c>
    </row>
    <row r="36">
      <c r="A36" s="42"/>
      <c r="B36" s="63" t="s">
        <v>66</v>
      </c>
      <c r="C36" s="31">
        <f t="shared" si="4"/>
        <v>3</v>
      </c>
      <c r="D36" s="3" t="str">
        <f t="shared" ref="D36:I36" si="8">if($C7&gt;$C$32,D7,"")</f>
        <v>RF.4.4</v>
      </c>
      <c r="E36" s="109" t="str">
        <f t="shared" si="8"/>
        <v>Read with sufficient accuracy and fluency to support comprehension</v>
      </c>
      <c r="F36" s="110" t="b">
        <f t="shared" si="8"/>
        <v>1</v>
      </c>
      <c r="G36" s="110" t="b">
        <f t="shared" si="8"/>
        <v>1</v>
      </c>
      <c r="H36" s="110" t="b">
        <f t="shared" si="8"/>
        <v>0</v>
      </c>
      <c r="I36" s="110" t="b">
        <f t="shared" si="8"/>
        <v>1</v>
      </c>
      <c r="J36" s="3"/>
      <c r="K36" s="109" t="str">
        <f t="shared" si="6"/>
        <v>R - Applied going forward
E - Fluency affects comprehension in other content
L - Constantly used in all content</v>
      </c>
      <c r="L36" s="147" t="b">
        <v>0</v>
      </c>
      <c r="M36" s="3" t="str">
        <f t="shared" ref="M36:U36" si="9">if($L36=TRUE,C36,"")</f>
        <v/>
      </c>
      <c r="N36" s="3" t="str">
        <f t="shared" si="9"/>
        <v/>
      </c>
      <c r="O36" s="3" t="str">
        <f t="shared" si="9"/>
        <v/>
      </c>
      <c r="P36" s="3" t="str">
        <f t="shared" si="9"/>
        <v/>
      </c>
      <c r="Q36" s="3" t="str">
        <f t="shared" si="9"/>
        <v/>
      </c>
      <c r="R36" s="3" t="str">
        <f t="shared" si="9"/>
        <v/>
      </c>
      <c r="S36" s="3" t="str">
        <f t="shared" si="9"/>
        <v/>
      </c>
      <c r="T36" s="3" t="str">
        <f t="shared" si="9"/>
        <v/>
      </c>
      <c r="U36" s="112" t="str">
        <f t="shared" si="9"/>
        <v/>
      </c>
    </row>
    <row r="37">
      <c r="A37" s="42"/>
      <c r="B37" s="42"/>
      <c r="C37" s="31">
        <f t="shared" si="4"/>
        <v>4</v>
      </c>
      <c r="D37" s="3" t="str">
        <f t="shared" ref="D37:I37" si="10">if($C8&gt;$C$32,D8,"")</f>
        <v>RF.4.4a</v>
      </c>
      <c r="E37" s="109" t="str">
        <f t="shared" si="10"/>
        <v>Read grade-level text with purpose and understanding.</v>
      </c>
      <c r="F37" s="110" t="b">
        <f t="shared" si="10"/>
        <v>1</v>
      </c>
      <c r="G37" s="110" t="b">
        <f t="shared" si="10"/>
        <v>1</v>
      </c>
      <c r="H37" s="110" t="b">
        <f t="shared" si="10"/>
        <v>1</v>
      </c>
      <c r="I37" s="110" t="b">
        <f t="shared" si="10"/>
        <v>1</v>
      </c>
      <c r="J37" s="3"/>
      <c r="K37" s="109" t="str">
        <f t="shared" si="6"/>
        <v>R - Applied going forward
E - Used throughout the year
A - Overall purpose of our assessment
L - Used in EVERYTHING</v>
      </c>
      <c r="L37" s="147" t="b">
        <v>0</v>
      </c>
      <c r="M37" s="3" t="str">
        <f t="shared" ref="M37:U37" si="11">if($L37=TRUE,C37,"")</f>
        <v/>
      </c>
      <c r="N37" s="3" t="str">
        <f t="shared" si="11"/>
        <v/>
      </c>
      <c r="O37" s="3" t="str">
        <f t="shared" si="11"/>
        <v/>
      </c>
      <c r="P37" s="3" t="str">
        <f t="shared" si="11"/>
        <v/>
      </c>
      <c r="Q37" s="3" t="str">
        <f t="shared" si="11"/>
        <v/>
      </c>
      <c r="R37" s="3" t="str">
        <f t="shared" si="11"/>
        <v/>
      </c>
      <c r="S37" s="3" t="str">
        <f t="shared" si="11"/>
        <v/>
      </c>
      <c r="T37" s="3" t="str">
        <f t="shared" si="11"/>
        <v/>
      </c>
      <c r="U37" s="112" t="str">
        <f t="shared" si="11"/>
        <v/>
      </c>
    </row>
    <row r="38">
      <c r="A38" s="42"/>
      <c r="B38" s="42"/>
      <c r="C38" s="31">
        <f t="shared" si="4"/>
        <v>0</v>
      </c>
      <c r="D38" s="3" t="str">
        <f t="shared" ref="D38:I38" si="12">if($C9&gt;$C$32,D9,"")</f>
        <v/>
      </c>
      <c r="E38" s="109" t="str">
        <f t="shared" si="12"/>
        <v/>
      </c>
      <c r="F38" s="110" t="str">
        <f t="shared" si="12"/>
        <v/>
      </c>
      <c r="G38" s="110" t="str">
        <f t="shared" si="12"/>
        <v/>
      </c>
      <c r="H38" s="110" t="str">
        <f t="shared" si="12"/>
        <v/>
      </c>
      <c r="I38" s="110" t="str">
        <f t="shared" si="12"/>
        <v/>
      </c>
      <c r="J38" s="3"/>
      <c r="K38" s="109" t="str">
        <f t="shared" si="6"/>
        <v/>
      </c>
      <c r="L38" t="b">
        <v>0</v>
      </c>
      <c r="M38" s="3" t="str">
        <f t="shared" ref="M38:U38" si="13">if($L38=TRUE,C38,"")</f>
        <v/>
      </c>
      <c r="N38" s="3" t="str">
        <f t="shared" si="13"/>
        <v/>
      </c>
      <c r="O38" s="3" t="str">
        <f t="shared" si="13"/>
        <v/>
      </c>
      <c r="P38" s="3" t="str">
        <f t="shared" si="13"/>
        <v/>
      </c>
      <c r="Q38" s="3" t="str">
        <f t="shared" si="13"/>
        <v/>
      </c>
      <c r="R38" s="3" t="str">
        <f t="shared" si="13"/>
        <v/>
      </c>
      <c r="S38" s="3" t="str">
        <f t="shared" si="13"/>
        <v/>
      </c>
      <c r="T38" s="3" t="str">
        <f t="shared" si="13"/>
        <v/>
      </c>
      <c r="U38" s="112" t="str">
        <f t="shared" si="13"/>
        <v/>
      </c>
    </row>
    <row r="39">
      <c r="A39" s="49"/>
      <c r="B39" s="49"/>
      <c r="C39" s="50">
        <f t="shared" si="4"/>
        <v>3</v>
      </c>
      <c r="D39" s="3" t="str">
        <f t="shared" ref="D39:I39" si="14">if($C10&gt;$C$32,D10,"")</f>
        <v>RF.4.4c</v>
      </c>
      <c r="E39" s="109" t="str">
        <f t="shared" si="14"/>
        <v>Use context to confirm or self-correct word recognition and understanding, rereading as necessary.</v>
      </c>
      <c r="F39" s="110" t="b">
        <f t="shared" si="14"/>
        <v>1</v>
      </c>
      <c r="G39" s="110" t="b">
        <f t="shared" si="14"/>
        <v>1</v>
      </c>
      <c r="H39" s="110" t="b">
        <f t="shared" si="14"/>
        <v>0</v>
      </c>
      <c r="I39" s="110" t="b">
        <f t="shared" si="14"/>
        <v>1</v>
      </c>
      <c r="J39" s="3"/>
      <c r="K39" s="109" t="str">
        <f t="shared" si="6"/>
        <v>R - Multisyllable words
E - Active reading, used constantly
L - Used in all, especially informational</v>
      </c>
      <c r="L39" t="b">
        <v>0</v>
      </c>
      <c r="M39" s="3" t="str">
        <f t="shared" ref="M39:U39" si="15">if($L39=TRUE,C39,"")</f>
        <v/>
      </c>
      <c r="N39" s="3" t="str">
        <f t="shared" si="15"/>
        <v/>
      </c>
      <c r="O39" s="3" t="str">
        <f t="shared" si="15"/>
        <v/>
      </c>
      <c r="P39" s="3" t="str">
        <f t="shared" si="15"/>
        <v/>
      </c>
      <c r="Q39" s="3" t="str">
        <f t="shared" si="15"/>
        <v/>
      </c>
      <c r="R39" s="3" t="str">
        <f t="shared" si="15"/>
        <v/>
      </c>
      <c r="S39" s="3" t="str">
        <f t="shared" si="15"/>
        <v/>
      </c>
      <c r="T39" s="3" t="str">
        <f t="shared" si="15"/>
        <v/>
      </c>
      <c r="U39" s="112" t="str">
        <f t="shared" si="15"/>
        <v/>
      </c>
    </row>
    <row r="40">
      <c r="A40" s="75" t="s">
        <v>102</v>
      </c>
      <c r="B40" s="67" t="s">
        <v>107</v>
      </c>
      <c r="C40" s="31">
        <f t="shared" si="4"/>
        <v>4</v>
      </c>
      <c r="D40" s="3" t="str">
        <f t="shared" ref="D40:I40" si="16">if($C11&gt;$C$32,D11,"")</f>
        <v>RL.4.1</v>
      </c>
      <c r="E40" s="109" t="str">
        <f t="shared" si="16"/>
        <v>Refer to details and examples in a text when explaining what the text says explicitly and when drawing inferences from the text.</v>
      </c>
      <c r="F40" s="110" t="b">
        <f t="shared" si="16"/>
        <v>1</v>
      </c>
      <c r="G40" s="110" t="b">
        <f t="shared" si="16"/>
        <v>1</v>
      </c>
      <c r="H40" s="110" t="b">
        <f t="shared" si="16"/>
        <v>1</v>
      </c>
      <c r="I40" s="110" t="b">
        <f t="shared" si="16"/>
        <v>1</v>
      </c>
      <c r="J40" s="3"/>
      <c r="K40" s="109" t="str">
        <f t="shared" si="6"/>
        <v>R - Used in all content and grade levels, inference
E - CONSTANT use (in life) (and test)
A - ACT Aspire, and all other tests
L - Used in SS, Science, Math</v>
      </c>
      <c r="L40" s="147" t="b">
        <v>1</v>
      </c>
      <c r="M40" s="3">
        <f t="shared" ref="M40:U40" si="17">if($L40=TRUE,C40,"")</f>
        <v>4</v>
      </c>
      <c r="N40" s="3" t="str">
        <f t="shared" si="17"/>
        <v>RL.4.1</v>
      </c>
      <c r="O40" s="3" t="str">
        <f t="shared" si="17"/>
        <v>Refer to details and examples in a text when explaining what the text says explicitly and when drawing inferences from the text.</v>
      </c>
      <c r="P40" s="3" t="b">
        <f t="shared" si="17"/>
        <v>1</v>
      </c>
      <c r="Q40" s="3" t="b">
        <f t="shared" si="17"/>
        <v>1</v>
      </c>
      <c r="R40" s="3" t="b">
        <f t="shared" si="17"/>
        <v>1</v>
      </c>
      <c r="S40" s="3" t="b">
        <f t="shared" si="17"/>
        <v>1</v>
      </c>
      <c r="T40" s="3" t="str">
        <f t="shared" si="17"/>
        <v/>
      </c>
      <c r="U40" s="112" t="str">
        <f t="shared" si="17"/>
        <v>R - Used in all content and grade levels, inference
E - CONSTANT use (in life) (and test)
A - ACT Aspire, and all other tests
L - Used in SS, Science, Math</v>
      </c>
    </row>
    <row r="41">
      <c r="A41" s="42"/>
      <c r="B41" s="42"/>
      <c r="C41" s="31">
        <f t="shared" si="4"/>
        <v>3</v>
      </c>
      <c r="D41" s="3" t="str">
        <f t="shared" ref="D41:I41" si="18">if($C12&gt;$C$32,D12,"")</f>
        <v>RL.4.2</v>
      </c>
      <c r="E41" s="109" t="str">
        <f t="shared" si="18"/>
        <v>Determine a theme of a story, drama, or poem from details in the text; summarize the text.</v>
      </c>
      <c r="F41" s="110" t="b">
        <f t="shared" si="18"/>
        <v>1</v>
      </c>
      <c r="G41" s="110" t="b">
        <f t="shared" si="18"/>
        <v>1</v>
      </c>
      <c r="H41" s="110" t="b">
        <f t="shared" si="18"/>
        <v>1</v>
      </c>
      <c r="I41" s="110" t="b">
        <f t="shared" si="18"/>
        <v>0</v>
      </c>
      <c r="J41" s="3"/>
      <c r="K41" s="109" t="str">
        <f t="shared" si="6"/>
        <v>R - To be used in future grades 
E - Used throughout, heavy introduction
A - Determine a theme IS, NOT summarize
</v>
      </c>
      <c r="L41" s="147" t="b">
        <v>0</v>
      </c>
      <c r="M41" s="3" t="str">
        <f t="shared" ref="M41:U41" si="19">if($L41=TRUE,C41,"")</f>
        <v/>
      </c>
      <c r="N41" s="3" t="str">
        <f t="shared" si="19"/>
        <v/>
      </c>
      <c r="O41" s="3" t="str">
        <f t="shared" si="19"/>
        <v/>
      </c>
      <c r="P41" s="3" t="str">
        <f t="shared" si="19"/>
        <v/>
      </c>
      <c r="Q41" s="3" t="str">
        <f t="shared" si="19"/>
        <v/>
      </c>
      <c r="R41" s="3" t="str">
        <f t="shared" si="19"/>
        <v/>
      </c>
      <c r="S41" s="3" t="str">
        <f t="shared" si="19"/>
        <v/>
      </c>
      <c r="T41" s="3" t="str">
        <f t="shared" si="19"/>
        <v/>
      </c>
      <c r="U41" s="112" t="str">
        <f t="shared" si="19"/>
        <v/>
      </c>
    </row>
    <row r="42">
      <c r="A42" s="42"/>
      <c r="B42" s="49"/>
      <c r="C42" s="50">
        <f t="shared" si="4"/>
        <v>3</v>
      </c>
      <c r="D42" s="3" t="str">
        <f t="shared" ref="D42:I42" si="20">if($C13&gt;$C$32,D13,"")</f>
        <v>RL.4.3</v>
      </c>
      <c r="E42" s="109" t="str">
        <f t="shared" si="20"/>
        <v>Describe in depth a character, setting, or event in a story or drama, drawing on specific details in the text (e.g., a character’s thoughts, words, or actions).</v>
      </c>
      <c r="F42" s="110" t="b">
        <f t="shared" si="20"/>
        <v>1</v>
      </c>
      <c r="G42" s="110" t="b">
        <f t="shared" si="20"/>
        <v>1</v>
      </c>
      <c r="H42" s="110" t="b">
        <f t="shared" si="20"/>
        <v>1</v>
      </c>
      <c r="I42" s="110" t="b">
        <f t="shared" si="20"/>
        <v>0</v>
      </c>
      <c r="J42" s="3"/>
      <c r="K42" s="109" t="str">
        <f t="shared" si="6"/>
        <v>R - Applies in 5th, "bump it up"
E - Used throughout
A - To be assessed in ACT</v>
      </c>
      <c r="L42" s="147" t="b">
        <v>0</v>
      </c>
      <c r="M42" s="3" t="str">
        <f t="shared" ref="M42:U42" si="21">if($L42=TRUE,C42,"")</f>
        <v/>
      </c>
      <c r="N42" s="3" t="str">
        <f t="shared" si="21"/>
        <v/>
      </c>
      <c r="O42" s="3" t="str">
        <f t="shared" si="21"/>
        <v/>
      </c>
      <c r="P42" s="3" t="str">
        <f t="shared" si="21"/>
        <v/>
      </c>
      <c r="Q42" s="3" t="str">
        <f t="shared" si="21"/>
        <v/>
      </c>
      <c r="R42" s="3" t="str">
        <f t="shared" si="21"/>
        <v/>
      </c>
      <c r="S42" s="3" t="str">
        <f t="shared" si="21"/>
        <v/>
      </c>
      <c r="T42" s="3" t="str">
        <f t="shared" si="21"/>
        <v/>
      </c>
      <c r="U42" s="112" t="str">
        <f t="shared" si="21"/>
        <v/>
      </c>
    </row>
    <row r="43">
      <c r="A43" s="42"/>
      <c r="B43" s="71" t="s">
        <v>123</v>
      </c>
      <c r="C43" s="31">
        <f t="shared" si="4"/>
        <v>4</v>
      </c>
      <c r="D43" s="3" t="str">
        <f t="shared" ref="D43:I43" si="22">if($C14&gt;$C$32,D14,"")</f>
        <v>RL.4.4</v>
      </c>
      <c r="E43" s="109" t="str">
        <f t="shared" si="22"/>
        <v>Determine the meaning of words and phrases as they are used in a text, including those that allude to significant characters found in mythology (e.g., Herculean).</v>
      </c>
      <c r="F43" s="110" t="b">
        <f t="shared" si="22"/>
        <v>1</v>
      </c>
      <c r="G43" s="110" t="b">
        <f t="shared" si="22"/>
        <v>1</v>
      </c>
      <c r="H43" s="110" t="b">
        <f t="shared" si="22"/>
        <v>1</v>
      </c>
      <c r="I43" s="110" t="b">
        <f t="shared" si="22"/>
        <v>1</v>
      </c>
      <c r="J43" s="3"/>
      <c r="K43" s="109" t="str">
        <f t="shared" si="6"/>
        <v>R - Prereq for the next year 
E - FOREVER 
A - Tested! 
L - In all subjects it is used!</v>
      </c>
      <c r="L43" s="147" t="b">
        <v>1</v>
      </c>
      <c r="M43" s="3">
        <f t="shared" ref="M43:U43" si="23">if($L43=TRUE,C43,"")</f>
        <v>4</v>
      </c>
      <c r="N43" s="3" t="str">
        <f t="shared" si="23"/>
        <v>RL.4.4</v>
      </c>
      <c r="O43" s="3" t="str">
        <f t="shared" si="23"/>
        <v>Determine the meaning of words and phrases as they are used in a text, including those that allude to significant characters found in mythology (e.g., Herculean).</v>
      </c>
      <c r="P43" s="3" t="b">
        <f t="shared" si="23"/>
        <v>1</v>
      </c>
      <c r="Q43" s="3" t="b">
        <f t="shared" si="23"/>
        <v>1</v>
      </c>
      <c r="R43" s="3" t="b">
        <f t="shared" si="23"/>
        <v>1</v>
      </c>
      <c r="S43" s="3" t="b">
        <f t="shared" si="23"/>
        <v>1</v>
      </c>
      <c r="T43" s="3" t="str">
        <f t="shared" si="23"/>
        <v/>
      </c>
      <c r="U43" s="112" t="str">
        <f t="shared" si="23"/>
        <v>R - Prereq for the next year 
E - FOREVER 
A - Tested! 
L - In all subjects it is used!</v>
      </c>
    </row>
    <row r="44">
      <c r="A44" s="42"/>
      <c r="B44" s="42"/>
      <c r="C44" s="31">
        <f t="shared" si="4"/>
        <v>0</v>
      </c>
      <c r="D44" s="3" t="str">
        <f t="shared" ref="D44:I44" si="24">if($C15&gt;$C$32,D15,"")</f>
        <v/>
      </c>
      <c r="E44" s="109" t="str">
        <f t="shared" si="24"/>
        <v/>
      </c>
      <c r="F44" s="110" t="str">
        <f t="shared" si="24"/>
        <v/>
      </c>
      <c r="G44" s="110" t="str">
        <f t="shared" si="24"/>
        <v/>
      </c>
      <c r="H44" s="110" t="str">
        <f t="shared" si="24"/>
        <v/>
      </c>
      <c r="I44" s="110" t="str">
        <f t="shared" si="24"/>
        <v/>
      </c>
      <c r="J44" s="3"/>
      <c r="K44" s="109" t="str">
        <f t="shared" si="6"/>
        <v/>
      </c>
      <c r="L44" s="147" t="b">
        <v>0</v>
      </c>
      <c r="M44" s="3" t="str">
        <f t="shared" ref="M44:U44" si="25">if($L44=TRUE,C44,"")</f>
        <v/>
      </c>
      <c r="N44" s="3" t="str">
        <f t="shared" si="25"/>
        <v/>
      </c>
      <c r="O44" s="3" t="str">
        <f t="shared" si="25"/>
        <v/>
      </c>
      <c r="P44" s="3" t="str">
        <f t="shared" si="25"/>
        <v/>
      </c>
      <c r="Q44" s="3" t="str">
        <f t="shared" si="25"/>
        <v/>
      </c>
      <c r="R44" s="3" t="str">
        <f t="shared" si="25"/>
        <v/>
      </c>
      <c r="S44" s="3" t="str">
        <f t="shared" si="25"/>
        <v/>
      </c>
      <c r="T44" s="3" t="str">
        <f t="shared" si="25"/>
        <v/>
      </c>
      <c r="U44" s="112" t="str">
        <f t="shared" si="25"/>
        <v/>
      </c>
    </row>
    <row r="45">
      <c r="A45" s="42"/>
      <c r="B45" s="49"/>
      <c r="C45" s="50">
        <f t="shared" si="4"/>
        <v>3</v>
      </c>
      <c r="D45" s="3" t="str">
        <f t="shared" ref="D45:I45" si="26">if($C16&gt;$C$32,D16,"")</f>
        <v>RL.4.6</v>
      </c>
      <c r="E45" s="109" t="str">
        <f t="shared" si="26"/>
        <v>Compare and contrast the point of view from which different stories are narrated, including the difference between first- and third-person narrations.</v>
      </c>
      <c r="F45" s="110" t="b">
        <f t="shared" si="26"/>
        <v>1</v>
      </c>
      <c r="G45" s="110" t="b">
        <f t="shared" si="26"/>
        <v>1</v>
      </c>
      <c r="H45" s="110" t="b">
        <f t="shared" si="26"/>
        <v>1</v>
      </c>
      <c r="I45" s="110" t="b">
        <f t="shared" si="26"/>
        <v>0</v>
      </c>
      <c r="J45" s="3"/>
      <c r="K45" s="109" t="str">
        <f t="shared" si="6"/>
        <v>R - Prereq for the following years 
E - Constant 
A - More than likely</v>
      </c>
      <c r="L45" t="b">
        <v>0</v>
      </c>
      <c r="M45" s="3" t="str">
        <f t="shared" ref="M45:U45" si="27">if($L45=TRUE,C45,"")</f>
        <v/>
      </c>
      <c r="N45" s="3" t="str">
        <f t="shared" si="27"/>
        <v/>
      </c>
      <c r="O45" s="3" t="str">
        <f t="shared" si="27"/>
        <v/>
      </c>
      <c r="P45" s="3" t="str">
        <f t="shared" si="27"/>
        <v/>
      </c>
      <c r="Q45" s="3" t="str">
        <f t="shared" si="27"/>
        <v/>
      </c>
      <c r="R45" s="3" t="str">
        <f t="shared" si="27"/>
        <v/>
      </c>
      <c r="S45" s="3" t="str">
        <f t="shared" si="27"/>
        <v/>
      </c>
      <c r="T45" s="3" t="str">
        <f t="shared" si="27"/>
        <v/>
      </c>
      <c r="U45" s="112" t="str">
        <f t="shared" si="27"/>
        <v/>
      </c>
    </row>
    <row r="46">
      <c r="A46" s="42"/>
      <c r="B46" s="74" t="s">
        <v>141</v>
      </c>
      <c r="C46" s="31">
        <f t="shared" si="4"/>
        <v>0</v>
      </c>
      <c r="D46" s="3" t="str">
        <f t="shared" ref="D46:I46" si="28">if($C17&gt;$C$32,D17,"")</f>
        <v/>
      </c>
      <c r="E46" s="109" t="str">
        <f t="shared" si="28"/>
        <v/>
      </c>
      <c r="F46" s="110" t="str">
        <f t="shared" si="28"/>
        <v/>
      </c>
      <c r="G46" s="110" t="str">
        <f t="shared" si="28"/>
        <v/>
      </c>
      <c r="H46" s="110" t="str">
        <f t="shared" si="28"/>
        <v/>
      </c>
      <c r="I46" s="110" t="str">
        <f t="shared" si="28"/>
        <v/>
      </c>
      <c r="J46" s="3"/>
      <c r="K46" s="109" t="str">
        <f t="shared" si="6"/>
        <v/>
      </c>
      <c r="L46" t="b">
        <v>0</v>
      </c>
      <c r="M46" s="3" t="str">
        <f t="shared" ref="M46:U46" si="29">if($L46=TRUE,C46,"")</f>
        <v/>
      </c>
      <c r="N46" s="3" t="str">
        <f t="shared" si="29"/>
        <v/>
      </c>
      <c r="O46" s="3" t="str">
        <f t="shared" si="29"/>
        <v/>
      </c>
      <c r="P46" s="3" t="str">
        <f t="shared" si="29"/>
        <v/>
      </c>
      <c r="Q46" s="3" t="str">
        <f t="shared" si="29"/>
        <v/>
      </c>
      <c r="R46" s="3" t="str">
        <f t="shared" si="29"/>
        <v/>
      </c>
      <c r="S46" s="3" t="str">
        <f t="shared" si="29"/>
        <v/>
      </c>
      <c r="T46" s="3" t="str">
        <f t="shared" si="29"/>
        <v/>
      </c>
      <c r="U46" s="112" t="str">
        <f t="shared" si="29"/>
        <v/>
      </c>
    </row>
    <row r="47">
      <c r="A47" s="42"/>
      <c r="B47" s="49"/>
      <c r="C47" s="50">
        <f t="shared" si="4"/>
        <v>0</v>
      </c>
      <c r="D47" s="3" t="str">
        <f t="shared" ref="D47:I47" si="30">if($C18&gt;$C$32,D18,"")</f>
        <v/>
      </c>
      <c r="E47" s="109" t="str">
        <f t="shared" si="30"/>
        <v/>
      </c>
      <c r="F47" s="110" t="str">
        <f t="shared" si="30"/>
        <v/>
      </c>
      <c r="G47" s="110" t="str">
        <f t="shared" si="30"/>
        <v/>
      </c>
      <c r="H47" s="110" t="str">
        <f t="shared" si="30"/>
        <v/>
      </c>
      <c r="I47" s="110" t="str">
        <f t="shared" si="30"/>
        <v/>
      </c>
      <c r="J47" s="3"/>
      <c r="K47" s="109" t="str">
        <f t="shared" si="6"/>
        <v/>
      </c>
      <c r="L47" s="147" t="b">
        <v>0</v>
      </c>
      <c r="M47" s="3" t="str">
        <f t="shared" ref="M47:U47" si="31">if($L47=TRUE,C47,"")</f>
        <v/>
      </c>
      <c r="N47" s="3" t="str">
        <f t="shared" si="31"/>
        <v/>
      </c>
      <c r="O47" s="3" t="str">
        <f t="shared" si="31"/>
        <v/>
      </c>
      <c r="P47" s="3" t="str">
        <f t="shared" si="31"/>
        <v/>
      </c>
      <c r="Q47" s="3" t="str">
        <f t="shared" si="31"/>
        <v/>
      </c>
      <c r="R47" s="3" t="str">
        <f t="shared" si="31"/>
        <v/>
      </c>
      <c r="S47" s="3" t="str">
        <f t="shared" si="31"/>
        <v/>
      </c>
      <c r="T47" s="3" t="str">
        <f t="shared" si="31"/>
        <v/>
      </c>
      <c r="U47" s="112" t="str">
        <f t="shared" si="31"/>
        <v/>
      </c>
    </row>
    <row r="48">
      <c r="A48" s="42"/>
      <c r="B48" s="78" t="s">
        <v>156</v>
      </c>
      <c r="C48" s="50">
        <f t="shared" si="4"/>
        <v>4</v>
      </c>
      <c r="D48" s="3" t="str">
        <f t="shared" ref="D48:I48" si="32">if($C19&gt;$C$32,D19,"")</f>
        <v>RL.4.10</v>
      </c>
      <c r="E48" s="109" t="str">
        <f t="shared" si="32"/>
        <v>By the end of the year, read and comprehend literature, including stories, dramas, and poetry, in the grades 4–5 text complexity band proficiently, with scaffolding as needed at the high end of the range.</v>
      </c>
      <c r="F48" s="110" t="b">
        <f t="shared" si="32"/>
        <v>1</v>
      </c>
      <c r="G48" s="110" t="b">
        <f t="shared" si="32"/>
        <v>1</v>
      </c>
      <c r="H48" s="110" t="b">
        <f t="shared" si="32"/>
        <v>1</v>
      </c>
      <c r="I48" s="110" t="b">
        <f t="shared" si="32"/>
        <v>1</v>
      </c>
      <c r="J48" s="3"/>
      <c r="K48" s="109" t="str">
        <f t="shared" si="6"/>
        <v>This will be the focus of the teacher</v>
      </c>
      <c r="L48" s="147" t="b">
        <v>0</v>
      </c>
      <c r="M48" s="3" t="str">
        <f t="shared" ref="M48:U48" si="33">if($L48=TRUE,C48,"")</f>
        <v/>
      </c>
      <c r="N48" s="3" t="str">
        <f t="shared" si="33"/>
        <v/>
      </c>
      <c r="O48" s="3" t="str">
        <f t="shared" si="33"/>
        <v/>
      </c>
      <c r="P48" s="3" t="str">
        <f t="shared" si="33"/>
        <v/>
      </c>
      <c r="Q48" s="3" t="str">
        <f t="shared" si="33"/>
        <v/>
      </c>
      <c r="R48" s="3" t="str">
        <f t="shared" si="33"/>
        <v/>
      </c>
      <c r="S48" s="3" t="str">
        <f t="shared" si="33"/>
        <v/>
      </c>
      <c r="T48" s="3" t="str">
        <f t="shared" si="33"/>
        <v/>
      </c>
      <c r="U48" s="112" t="str">
        <f t="shared" si="33"/>
        <v/>
      </c>
    </row>
    <row r="49">
      <c r="A49" s="49"/>
      <c r="B49" s="79" t="s">
        <v>107</v>
      </c>
      <c r="C49" s="31">
        <f t="shared" si="4"/>
        <v>4</v>
      </c>
      <c r="D49" s="3" t="str">
        <f t="shared" ref="D49:I49" si="34">if($C20&gt;$C$32,D20,"")</f>
        <v>RI.4.1</v>
      </c>
      <c r="E49" s="109" t="str">
        <f t="shared" si="34"/>
        <v>Refer to details and examples in a text when explaining what the text says explicitly and when drawing inferences from the text.</v>
      </c>
      <c r="F49" s="110" t="b">
        <f t="shared" si="34"/>
        <v>1</v>
      </c>
      <c r="G49" s="110" t="b">
        <f t="shared" si="34"/>
        <v>1</v>
      </c>
      <c r="H49" s="110" t="b">
        <f t="shared" si="34"/>
        <v>1</v>
      </c>
      <c r="I49" s="110" t="b">
        <f t="shared" si="34"/>
        <v>1</v>
      </c>
      <c r="J49" s="3"/>
      <c r="K49" s="109" t="str">
        <f t="shared" si="6"/>
        <v/>
      </c>
      <c r="L49" s="147" t="b">
        <v>1</v>
      </c>
      <c r="M49" s="3">
        <f t="shared" ref="M49:U49" si="35">if($L49=TRUE,C49,"")</f>
        <v>4</v>
      </c>
      <c r="N49" s="3" t="str">
        <f t="shared" si="35"/>
        <v>RI.4.1</v>
      </c>
      <c r="O49" s="3" t="str">
        <f t="shared" si="35"/>
        <v>Refer to details and examples in a text when explaining what the text says explicitly and when drawing inferences from the text.</v>
      </c>
      <c r="P49" s="3" t="b">
        <f t="shared" si="35"/>
        <v>1</v>
      </c>
      <c r="Q49" s="3" t="b">
        <f t="shared" si="35"/>
        <v>1</v>
      </c>
      <c r="R49" s="3" t="b">
        <f t="shared" si="35"/>
        <v>1</v>
      </c>
      <c r="S49" s="3" t="b">
        <f t="shared" si="35"/>
        <v>1</v>
      </c>
      <c r="T49" s="3" t="str">
        <f t="shared" si="35"/>
        <v/>
      </c>
      <c r="U49" s="112" t="str">
        <f t="shared" si="35"/>
        <v/>
      </c>
    </row>
    <row r="50">
      <c r="A50" s="87" t="s">
        <v>183</v>
      </c>
      <c r="B50" s="42"/>
      <c r="C50" s="31">
        <f t="shared" si="4"/>
        <v>4</v>
      </c>
      <c r="D50" s="3" t="str">
        <f t="shared" ref="D50:I50" si="36">if($C21&gt;$C$32,D21,"")</f>
        <v>RI.4.2</v>
      </c>
      <c r="E50" s="109" t="str">
        <f t="shared" si="36"/>
        <v>Determine the main idea of a text and explain how it is supported by key details; summarize the text.</v>
      </c>
      <c r="F50" s="110" t="b">
        <f t="shared" si="36"/>
        <v>1</v>
      </c>
      <c r="G50" s="110" t="b">
        <f t="shared" si="36"/>
        <v>1</v>
      </c>
      <c r="H50" s="110" t="b">
        <f t="shared" si="36"/>
        <v>1</v>
      </c>
      <c r="I50" s="110" t="b">
        <f t="shared" si="36"/>
        <v>1</v>
      </c>
      <c r="J50" s="3"/>
      <c r="K50" s="109" t="str">
        <f t="shared" si="6"/>
        <v/>
      </c>
      <c r="L50" s="147" t="b">
        <v>1</v>
      </c>
      <c r="M50" s="3">
        <f t="shared" ref="M50:U50" si="37">if($L50=TRUE,C50,"")</f>
        <v>4</v>
      </c>
      <c r="N50" s="3" t="str">
        <f t="shared" si="37"/>
        <v>RI.4.2</v>
      </c>
      <c r="O50" s="3" t="str">
        <f t="shared" si="37"/>
        <v>Determine the main idea of a text and explain how it is supported by key details; summarize the text.</v>
      </c>
      <c r="P50" s="3" t="b">
        <f t="shared" si="37"/>
        <v>1</v>
      </c>
      <c r="Q50" s="3" t="b">
        <f t="shared" si="37"/>
        <v>1</v>
      </c>
      <c r="R50" s="3" t="b">
        <f t="shared" si="37"/>
        <v>1</v>
      </c>
      <c r="S50" s="3" t="b">
        <f t="shared" si="37"/>
        <v>1</v>
      </c>
      <c r="T50" s="3" t="str">
        <f t="shared" si="37"/>
        <v/>
      </c>
      <c r="U50" s="112" t="str">
        <f t="shared" si="37"/>
        <v/>
      </c>
    </row>
    <row r="51">
      <c r="A51" s="42"/>
      <c r="B51" s="49"/>
      <c r="C51" s="50">
        <f t="shared" si="4"/>
        <v>4</v>
      </c>
      <c r="D51" s="3" t="str">
        <f t="shared" ref="D51:I51" si="38">if($C22&gt;$C$32,D22,"")</f>
        <v>RI.4.3</v>
      </c>
      <c r="E51" s="109" t="str">
        <f t="shared" si="38"/>
        <v>Explain events, procedures, ideas, or concepts in a historical, scientific, or technical text, including what happened and why, based on specific information in the text.</v>
      </c>
      <c r="F51" s="110" t="b">
        <f t="shared" si="38"/>
        <v>1</v>
      </c>
      <c r="G51" s="110" t="b">
        <f t="shared" si="38"/>
        <v>1</v>
      </c>
      <c r="H51" s="110" t="b">
        <f t="shared" si="38"/>
        <v>1</v>
      </c>
      <c r="I51" s="110" t="b">
        <f t="shared" si="38"/>
        <v>1</v>
      </c>
      <c r="J51" s="3"/>
      <c r="K51" s="109" t="str">
        <f t="shared" si="6"/>
        <v/>
      </c>
      <c r="L51" s="147" t="b">
        <v>1</v>
      </c>
      <c r="M51" s="3">
        <f t="shared" ref="M51:U51" si="39">if($L51=TRUE,C51,"")</f>
        <v>4</v>
      </c>
      <c r="N51" s="3" t="str">
        <f t="shared" si="39"/>
        <v>RI.4.3</v>
      </c>
      <c r="O51" s="3" t="str">
        <f t="shared" si="39"/>
        <v>Explain events, procedures, ideas, or concepts in a historical, scientific, or technical text, including what happened and why, based on specific information in the text.</v>
      </c>
      <c r="P51" s="3" t="b">
        <f t="shared" si="39"/>
        <v>1</v>
      </c>
      <c r="Q51" s="3" t="b">
        <f t="shared" si="39"/>
        <v>1</v>
      </c>
      <c r="R51" s="3" t="b">
        <f t="shared" si="39"/>
        <v>1</v>
      </c>
      <c r="S51" s="3" t="b">
        <f t="shared" si="39"/>
        <v>1</v>
      </c>
      <c r="T51" s="3" t="str">
        <f t="shared" si="39"/>
        <v/>
      </c>
      <c r="U51" s="112" t="str">
        <f t="shared" si="39"/>
        <v/>
      </c>
    </row>
    <row r="52">
      <c r="A52" s="42"/>
      <c r="B52" s="83" t="s">
        <v>123</v>
      </c>
      <c r="C52" s="31">
        <f t="shared" si="4"/>
        <v>4</v>
      </c>
      <c r="D52" s="3" t="str">
        <f t="shared" ref="D52:I52" si="40">if($C23&gt;$C$32,D23,"")</f>
        <v>RI.4.4</v>
      </c>
      <c r="E52" s="109" t="str">
        <f t="shared" si="40"/>
        <v>Determine the meaning of general academic and domain-specific words or phrases in a text relevant to a grade 4 topic or subject area.</v>
      </c>
      <c r="F52" s="110" t="b">
        <f t="shared" si="40"/>
        <v>1</v>
      </c>
      <c r="G52" s="110" t="b">
        <f t="shared" si="40"/>
        <v>1</v>
      </c>
      <c r="H52" s="110" t="b">
        <f t="shared" si="40"/>
        <v>1</v>
      </c>
      <c r="I52" s="110" t="b">
        <f t="shared" si="40"/>
        <v>1</v>
      </c>
      <c r="J52" s="3"/>
      <c r="K52" s="109" t="str">
        <f t="shared" si="6"/>
        <v/>
      </c>
      <c r="L52" s="147" t="b">
        <v>1</v>
      </c>
      <c r="M52" s="3">
        <f t="shared" ref="M52:U52" si="41">if($L52=TRUE,C52,"")</f>
        <v>4</v>
      </c>
      <c r="N52" s="3" t="str">
        <f t="shared" si="41"/>
        <v>RI.4.4</v>
      </c>
      <c r="O52" s="3" t="str">
        <f t="shared" si="41"/>
        <v>Determine the meaning of general academic and domain-specific words or phrases in a text relevant to a grade 4 topic or subject area.</v>
      </c>
      <c r="P52" s="3" t="b">
        <f t="shared" si="41"/>
        <v>1</v>
      </c>
      <c r="Q52" s="3" t="b">
        <f t="shared" si="41"/>
        <v>1</v>
      </c>
      <c r="R52" s="3" t="b">
        <f t="shared" si="41"/>
        <v>1</v>
      </c>
      <c r="S52" s="3" t="b">
        <f t="shared" si="41"/>
        <v>1</v>
      </c>
      <c r="T52" s="3" t="str">
        <f t="shared" si="41"/>
        <v/>
      </c>
      <c r="U52" s="112" t="str">
        <f t="shared" si="41"/>
        <v/>
      </c>
    </row>
    <row r="53">
      <c r="A53" s="42"/>
      <c r="B53" s="42"/>
      <c r="C53" s="31">
        <f t="shared" si="4"/>
        <v>0</v>
      </c>
      <c r="D53" s="3" t="str">
        <f t="shared" ref="D53:I53" si="42">if($C24&gt;$C$32,D24,"")</f>
        <v/>
      </c>
      <c r="E53" s="109" t="str">
        <f t="shared" si="42"/>
        <v/>
      </c>
      <c r="F53" s="110" t="str">
        <f t="shared" si="42"/>
        <v/>
      </c>
      <c r="G53" s="110" t="str">
        <f t="shared" si="42"/>
        <v/>
      </c>
      <c r="H53" s="110" t="str">
        <f t="shared" si="42"/>
        <v/>
      </c>
      <c r="I53" s="110" t="str">
        <f t="shared" si="42"/>
        <v/>
      </c>
      <c r="J53" s="3"/>
      <c r="K53" s="109" t="str">
        <f t="shared" si="6"/>
        <v/>
      </c>
      <c r="L53" s="147" t="b">
        <v>0</v>
      </c>
      <c r="M53" s="3" t="str">
        <f t="shared" ref="M53:U53" si="43">if($L53=TRUE,C53,"")</f>
        <v/>
      </c>
      <c r="N53" s="3" t="str">
        <f t="shared" si="43"/>
        <v/>
      </c>
      <c r="O53" s="3" t="str">
        <f t="shared" si="43"/>
        <v/>
      </c>
      <c r="P53" s="3" t="str">
        <f t="shared" si="43"/>
        <v/>
      </c>
      <c r="Q53" s="3" t="str">
        <f t="shared" si="43"/>
        <v/>
      </c>
      <c r="R53" s="3" t="str">
        <f t="shared" si="43"/>
        <v/>
      </c>
      <c r="S53" s="3" t="str">
        <f t="shared" si="43"/>
        <v/>
      </c>
      <c r="T53" s="3" t="str">
        <f t="shared" si="43"/>
        <v/>
      </c>
      <c r="U53" s="112" t="str">
        <f t="shared" si="43"/>
        <v/>
      </c>
    </row>
    <row r="54">
      <c r="A54" s="42"/>
      <c r="B54" s="49"/>
      <c r="C54" s="50">
        <f t="shared" si="4"/>
        <v>3</v>
      </c>
      <c r="D54" s="3" t="str">
        <f t="shared" ref="D54:I54" si="44">if($C25&gt;$C$32,D25,"")</f>
        <v>RI.4.6</v>
      </c>
      <c r="E54" s="109" t="str">
        <f t="shared" si="44"/>
        <v>Compare and contrast a firsthand and secondhand account of the same event or topic; describe the differences in focus and the information provided.</v>
      </c>
      <c r="F54" s="110" t="b">
        <f t="shared" si="44"/>
        <v>1</v>
      </c>
      <c r="G54" s="110" t="b">
        <f t="shared" si="44"/>
        <v>1</v>
      </c>
      <c r="H54" s="110" t="b">
        <f t="shared" si="44"/>
        <v>0</v>
      </c>
      <c r="I54" s="110" t="b">
        <f t="shared" si="44"/>
        <v>1</v>
      </c>
      <c r="J54" s="3"/>
      <c r="K54" s="109" t="str">
        <f t="shared" si="6"/>
        <v/>
      </c>
      <c r="L54" t="b">
        <v>0</v>
      </c>
      <c r="M54" s="3" t="str">
        <f t="shared" ref="M54:U54" si="45">if($L54=TRUE,C54,"")</f>
        <v/>
      </c>
      <c r="N54" s="3" t="str">
        <f t="shared" si="45"/>
        <v/>
      </c>
      <c r="O54" s="3" t="str">
        <f t="shared" si="45"/>
        <v/>
      </c>
      <c r="P54" s="3" t="str">
        <f t="shared" si="45"/>
        <v/>
      </c>
      <c r="Q54" s="3" t="str">
        <f t="shared" si="45"/>
        <v/>
      </c>
      <c r="R54" s="3" t="str">
        <f t="shared" si="45"/>
        <v/>
      </c>
      <c r="S54" s="3" t="str">
        <f t="shared" si="45"/>
        <v/>
      </c>
      <c r="T54" s="3" t="str">
        <f t="shared" si="45"/>
        <v/>
      </c>
      <c r="U54" s="112" t="str">
        <f t="shared" si="45"/>
        <v/>
      </c>
    </row>
    <row r="55">
      <c r="A55" s="42"/>
      <c r="B55" s="86" t="s">
        <v>141</v>
      </c>
      <c r="C55" s="31">
        <f t="shared" si="4"/>
        <v>4</v>
      </c>
      <c r="D55" s="3" t="str">
        <f t="shared" ref="D55:I55" si="46">if($C26&gt;$C$32,D26,"")</f>
        <v>RI.4.7</v>
      </c>
      <c r="E55" s="109" t="str">
        <f t="shared" si="46"/>
        <v>Interpret information presented visually, orally, or quantitatively (e.g., in charts, graphs, diagrams, time lines, animations, or interactive elements on Web pages) and explain how the information contributes to an understanding of the text in which it appears</v>
      </c>
      <c r="F55" s="110" t="b">
        <f t="shared" si="46"/>
        <v>1</v>
      </c>
      <c r="G55" s="110" t="b">
        <f t="shared" si="46"/>
        <v>1</v>
      </c>
      <c r="H55" s="110" t="b">
        <f t="shared" si="46"/>
        <v>1</v>
      </c>
      <c r="I55" s="110" t="b">
        <f t="shared" si="46"/>
        <v>1</v>
      </c>
      <c r="J55" s="3"/>
      <c r="K55" s="109" t="str">
        <f t="shared" si="6"/>
        <v/>
      </c>
      <c r="L55" s="147" t="b">
        <v>1</v>
      </c>
      <c r="M55" s="3">
        <f t="shared" ref="M55:U55" si="47">if($L55=TRUE,C55,"")</f>
        <v>4</v>
      </c>
      <c r="N55" s="3" t="str">
        <f t="shared" si="47"/>
        <v>RI.4.7</v>
      </c>
      <c r="O55" s="3" t="str">
        <f t="shared" si="47"/>
        <v>Interpret information presented visually, orally, or quantitatively (e.g., in charts, graphs, diagrams, time lines, animations, or interactive elements on Web pages) and explain how the information contributes to an understanding of the text in which it appears</v>
      </c>
      <c r="P55" s="3" t="b">
        <f t="shared" si="47"/>
        <v>1</v>
      </c>
      <c r="Q55" s="3" t="b">
        <f t="shared" si="47"/>
        <v>1</v>
      </c>
      <c r="R55" s="3" t="b">
        <f t="shared" si="47"/>
        <v>1</v>
      </c>
      <c r="S55" s="3" t="b">
        <f t="shared" si="47"/>
        <v>1</v>
      </c>
      <c r="T55" s="3" t="str">
        <f t="shared" si="47"/>
        <v/>
      </c>
      <c r="U55" s="112" t="str">
        <f t="shared" si="47"/>
        <v/>
      </c>
    </row>
    <row r="56">
      <c r="A56" s="42"/>
      <c r="B56" s="42"/>
      <c r="C56" s="31">
        <f t="shared" si="4"/>
        <v>3</v>
      </c>
      <c r="D56" s="3" t="str">
        <f t="shared" ref="D56:I56" si="48">if($C27&gt;$C$32,D27,"")</f>
        <v>RI.4.8</v>
      </c>
      <c r="E56" s="109" t="str">
        <f t="shared" si="48"/>
        <v>Explain how an author uses reasons and evidence to support particular points in a text.</v>
      </c>
      <c r="F56" s="110" t="b">
        <f t="shared" si="48"/>
        <v>1</v>
      </c>
      <c r="G56" s="110" t="b">
        <f t="shared" si="48"/>
        <v>1</v>
      </c>
      <c r="H56" s="110" t="b">
        <f t="shared" si="48"/>
        <v>0</v>
      </c>
      <c r="I56" s="110" t="b">
        <f t="shared" si="48"/>
        <v>1</v>
      </c>
      <c r="J56" s="3"/>
      <c r="K56" s="109" t="str">
        <f t="shared" si="6"/>
        <v>Writing emphasis</v>
      </c>
      <c r="L56" t="b">
        <v>0</v>
      </c>
      <c r="M56" s="3" t="str">
        <f t="shared" ref="M56:U56" si="49">if($L56=TRUE,C56,"")</f>
        <v/>
      </c>
      <c r="N56" s="3" t="str">
        <f t="shared" si="49"/>
        <v/>
      </c>
      <c r="O56" s="3" t="str">
        <f t="shared" si="49"/>
        <v/>
      </c>
      <c r="P56" s="3" t="str">
        <f t="shared" si="49"/>
        <v/>
      </c>
      <c r="Q56" s="3" t="str">
        <f t="shared" si="49"/>
        <v/>
      </c>
      <c r="R56" s="3" t="str">
        <f t="shared" si="49"/>
        <v/>
      </c>
      <c r="S56" s="3" t="str">
        <f t="shared" si="49"/>
        <v/>
      </c>
      <c r="T56" s="3" t="str">
        <f t="shared" si="49"/>
        <v/>
      </c>
      <c r="U56" s="112" t="str">
        <f t="shared" si="49"/>
        <v/>
      </c>
    </row>
    <row r="57">
      <c r="A57" s="42"/>
      <c r="B57" s="49"/>
      <c r="C57" s="50">
        <f t="shared" si="4"/>
        <v>4</v>
      </c>
      <c r="D57" s="3" t="str">
        <f t="shared" ref="D57:I57" si="50">if($C28&gt;$C$32,D28,"")</f>
        <v>RI.4.9</v>
      </c>
      <c r="E57" s="109" t="str">
        <f t="shared" si="50"/>
        <v>Integrate information from two texts on the same topic in order to write or speak about the subject knowledgeably.</v>
      </c>
      <c r="F57" s="110" t="b">
        <f t="shared" si="50"/>
        <v>1</v>
      </c>
      <c r="G57" s="110" t="b">
        <f t="shared" si="50"/>
        <v>1</v>
      </c>
      <c r="H57" s="110" t="b">
        <f t="shared" si="50"/>
        <v>1</v>
      </c>
      <c r="I57" s="110" t="b">
        <f t="shared" si="50"/>
        <v>1</v>
      </c>
      <c r="J57" s="3"/>
      <c r="K57" s="109" t="str">
        <f t="shared" si="6"/>
        <v>DOK 3</v>
      </c>
      <c r="L57" s="147" t="b">
        <v>1</v>
      </c>
      <c r="M57" s="3">
        <f t="shared" ref="M57:U57" si="51">if($L57=TRUE,C57,"")</f>
        <v>4</v>
      </c>
      <c r="N57" s="3" t="str">
        <f t="shared" si="51"/>
        <v>RI.4.9</v>
      </c>
      <c r="O57" s="3" t="str">
        <f t="shared" si="51"/>
        <v>Integrate information from two texts on the same topic in order to write or speak about the subject knowledgeably.</v>
      </c>
      <c r="P57" s="3" t="b">
        <f t="shared" si="51"/>
        <v>1</v>
      </c>
      <c r="Q57" s="3" t="b">
        <f t="shared" si="51"/>
        <v>1</v>
      </c>
      <c r="R57" s="3" t="b">
        <f t="shared" si="51"/>
        <v>1</v>
      </c>
      <c r="S57" s="3" t="b">
        <f t="shared" si="51"/>
        <v>1</v>
      </c>
      <c r="T57" s="3" t="str">
        <f t="shared" si="51"/>
        <v/>
      </c>
      <c r="U57" s="112" t="str">
        <f t="shared" si="51"/>
        <v>DOK 3</v>
      </c>
    </row>
    <row r="58">
      <c r="A58" s="49"/>
      <c r="B58" s="90" t="s">
        <v>156</v>
      </c>
      <c r="C58" s="31">
        <f t="shared" si="4"/>
        <v>4</v>
      </c>
      <c r="D58" s="3" t="str">
        <f t="shared" ref="D58:I58" si="52">if($C29&gt;$C$32,D29,"")</f>
        <v>RI.4.10</v>
      </c>
      <c r="E58" s="109" t="str">
        <f t="shared" si="52"/>
        <v>By the end of year, read and comprehend informational texts, including history/social studies, science, and technical texts, in the grades 4–5 text complexity band proficiently, with scaffolding as needed at the high end of the range.</v>
      </c>
      <c r="F58" s="110" t="b">
        <f t="shared" si="52"/>
        <v>1</v>
      </c>
      <c r="G58" s="110" t="b">
        <f t="shared" si="52"/>
        <v>1</v>
      </c>
      <c r="H58" s="110" t="b">
        <f t="shared" si="52"/>
        <v>1</v>
      </c>
      <c r="I58" s="110" t="b">
        <f t="shared" si="52"/>
        <v>1</v>
      </c>
      <c r="J58" s="3"/>
      <c r="K58" s="109" t="str">
        <f t="shared" si="6"/>
        <v>Teacher focus</v>
      </c>
      <c r="L58" s="147" t="b">
        <v>0</v>
      </c>
      <c r="M58" s="3" t="str">
        <f t="shared" ref="M58:U58" si="53">if($L58=TRUE,C58,"")</f>
        <v/>
      </c>
      <c r="N58" s="3" t="str">
        <f t="shared" si="53"/>
        <v/>
      </c>
      <c r="O58" s="3" t="str">
        <f t="shared" si="53"/>
        <v/>
      </c>
      <c r="P58" s="3" t="str">
        <f t="shared" si="53"/>
        <v/>
      </c>
      <c r="Q58" s="3" t="str">
        <f t="shared" si="53"/>
        <v/>
      </c>
      <c r="R58" s="3" t="str">
        <f t="shared" si="53"/>
        <v/>
      </c>
      <c r="S58" s="3" t="str">
        <f t="shared" si="53"/>
        <v/>
      </c>
      <c r="T58" s="3" t="str">
        <f t="shared" si="53"/>
        <v/>
      </c>
      <c r="U58" s="112" t="str">
        <f t="shared" si="53"/>
        <v/>
      </c>
    </row>
  </sheetData>
  <mergeCells count="30">
    <mergeCell ref="B7:B10"/>
    <mergeCell ref="B11:B13"/>
    <mergeCell ref="A2:B2"/>
    <mergeCell ref="C2:K2"/>
    <mergeCell ref="A3:K3"/>
    <mergeCell ref="A4:B4"/>
    <mergeCell ref="A5:A10"/>
    <mergeCell ref="B5:B6"/>
    <mergeCell ref="A11:A20"/>
    <mergeCell ref="B14:B16"/>
    <mergeCell ref="B17:B18"/>
    <mergeCell ref="B20:B22"/>
    <mergeCell ref="A21:A29"/>
    <mergeCell ref="B23:B25"/>
    <mergeCell ref="B26:B28"/>
    <mergeCell ref="F31:G31"/>
    <mergeCell ref="B40:B42"/>
    <mergeCell ref="B43:B45"/>
    <mergeCell ref="B46:B47"/>
    <mergeCell ref="B49:B51"/>
    <mergeCell ref="A50:A58"/>
    <mergeCell ref="B52:B54"/>
    <mergeCell ref="B55:B57"/>
    <mergeCell ref="A31:B31"/>
    <mergeCell ref="A32:B32"/>
    <mergeCell ref="A33:B33"/>
    <mergeCell ref="A34:A39"/>
    <mergeCell ref="B34:B35"/>
    <mergeCell ref="B36:B39"/>
    <mergeCell ref="A40:A49"/>
  </mergeCells>
  <conditionalFormatting sqref="F34:I58">
    <cfRule type="cellIs" dxfId="0" priority="1" operator="equal">
      <formula>"TRUE"</formula>
    </cfRule>
  </conditionalFormatting>
  <conditionalFormatting sqref="F34:I58">
    <cfRule type="cellIs" dxfId="1" priority="2" operator="equal">
      <formula>"FALSE"</formula>
    </cfRule>
  </conditionalFormatting>
  <conditionalFormatting sqref="D31">
    <cfRule type="expression" dxfId="2" priority="3">
      <formula>D31&gt;K31</formula>
    </cfRule>
  </conditionalFormatting>
  <conditionalFormatting sqref="D31">
    <cfRule type="expression" dxfId="3" priority="4">
      <formula>D31&lt;=K31</formula>
    </cfRule>
  </conditionalFormatting>
  <conditionalFormatting sqref="C5:C29 C34:C58">
    <cfRule type="cellIs" dxfId="4" priority="5" operator="equal">
      <formula>0</formula>
    </cfRule>
  </conditionalFormatting>
  <conditionalFormatting sqref="C5:C29 C34:C58">
    <cfRule type="cellIs" dxfId="5" priority="6" operator="equal">
      <formula>1</formula>
    </cfRule>
  </conditionalFormatting>
  <conditionalFormatting sqref="C5:C29 C34:C58">
    <cfRule type="cellIs" dxfId="6" priority="7" operator="equal">
      <formula>2</formula>
    </cfRule>
  </conditionalFormatting>
  <conditionalFormatting sqref="C5:C29 C34:C58">
    <cfRule type="cellIs" dxfId="7" priority="8" operator="equal">
      <formula>3</formula>
    </cfRule>
  </conditionalFormatting>
  <conditionalFormatting sqref="C5:C29 C34:C58">
    <cfRule type="cellIs" dxfId="8" priority="9" operator="equal">
      <formula>4</formula>
    </cfRule>
  </conditionalFormatting>
  <drawing r:id="rId2"/>
  <legacy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8E7CC3"/>
    <outlinePr summaryBelow="0" summaryRight="0"/>
  </sheetPr>
  <sheetViews>
    <sheetView workbookViewId="0"/>
  </sheetViews>
  <sheetFormatPr customHeight="1" defaultColWidth="14.43" defaultRowHeight="15.75" outlineLevelCol="1" outlineLevelRow="1"/>
  <cols>
    <col customWidth="1" min="1" max="1" width="5.14"/>
    <col customWidth="1" min="2" max="2" width="15.86"/>
    <col customWidth="1" min="3" max="3" width="5.14"/>
    <col customWidth="1" min="4" max="4" width="10.86"/>
    <col customWidth="1" min="5" max="5" width="57.29"/>
    <col customWidth="1" min="6" max="9" width="3.0"/>
    <col customWidth="1" min="10" max="10" width="0.86"/>
    <col customWidth="1" min="11" max="11" width="43.0"/>
    <col collapsed="1" customWidth="1" min="12" max="12" width="7.57"/>
    <col hidden="1" min="13" max="21" width="14.43" outlineLevel="1"/>
  </cols>
  <sheetData>
    <row r="1" ht="7.5" customHeight="1" collapsed="1">
      <c r="B1" s="2"/>
      <c r="C1" s="4"/>
      <c r="D1" s="4"/>
      <c r="E1" s="4"/>
      <c r="F1" s="4"/>
      <c r="G1" s="4"/>
      <c r="H1" s="4"/>
      <c r="I1" s="4"/>
      <c r="J1" s="4"/>
      <c r="K1" s="4"/>
      <c r="U1" s="12"/>
    </row>
    <row r="2" ht="42.75" hidden="1" customHeight="1" outlineLevel="1">
      <c r="A2" s="6" t="s">
        <v>2</v>
      </c>
      <c r="C2" s="8" t="s">
        <v>4</v>
      </c>
      <c r="U2" s="12"/>
    </row>
    <row r="3">
      <c r="A3" s="10" t="s">
        <v>298</v>
      </c>
      <c r="B3" s="11"/>
      <c r="C3" s="11"/>
      <c r="D3" s="11"/>
      <c r="E3" s="11"/>
      <c r="F3" s="11"/>
      <c r="G3" s="11"/>
      <c r="H3" s="11"/>
      <c r="I3" s="11"/>
      <c r="J3" s="11"/>
      <c r="K3" s="13"/>
      <c r="U3" s="12"/>
    </row>
    <row r="4" outlineLevel="1">
      <c r="A4" s="33" t="s">
        <v>8</v>
      </c>
      <c r="B4" s="20"/>
      <c r="C4" s="35" t="s">
        <v>10</v>
      </c>
      <c r="D4" s="37" t="s">
        <v>11</v>
      </c>
      <c r="E4" s="117" t="s">
        <v>12</v>
      </c>
      <c r="F4" s="35" t="s">
        <v>13</v>
      </c>
      <c r="G4" s="35" t="s">
        <v>14</v>
      </c>
      <c r="H4" s="35" t="s">
        <v>15</v>
      </c>
      <c r="I4" s="35" t="s">
        <v>16</v>
      </c>
      <c r="J4" s="35"/>
      <c r="K4" s="35" t="s">
        <v>17</v>
      </c>
      <c r="U4" s="12"/>
    </row>
    <row r="5" outlineLevel="1">
      <c r="A5" s="28" t="s">
        <v>18</v>
      </c>
      <c r="B5" s="119" t="s">
        <v>25</v>
      </c>
      <c r="C5" s="31">
        <f t="shared" ref="C5:C29" si="1">countif(F5:I5,TRUE)</f>
        <v>3</v>
      </c>
      <c r="D5" s="41" t="s">
        <v>321</v>
      </c>
      <c r="E5" s="43" t="s">
        <v>76</v>
      </c>
      <c r="F5" s="45" t="b">
        <v>1</v>
      </c>
      <c r="G5" s="45" t="b">
        <v>1</v>
      </c>
      <c r="H5" s="45" t="b">
        <v>0</v>
      </c>
      <c r="I5" s="45" t="b">
        <v>1</v>
      </c>
      <c r="J5" s="47"/>
      <c r="K5" s="84" t="s">
        <v>326</v>
      </c>
      <c r="U5" s="12"/>
    </row>
    <row r="6" outlineLevel="1">
      <c r="A6" s="42"/>
      <c r="B6" s="49"/>
      <c r="C6" s="50">
        <f t="shared" si="1"/>
        <v>3</v>
      </c>
      <c r="D6" s="52" t="s">
        <v>330</v>
      </c>
      <c r="E6" s="53" t="s">
        <v>333</v>
      </c>
      <c r="F6" s="55" t="b">
        <v>1</v>
      </c>
      <c r="G6" s="55" t="b">
        <v>1</v>
      </c>
      <c r="H6" s="55" t="b">
        <v>0</v>
      </c>
      <c r="I6" s="55" t="b">
        <v>1</v>
      </c>
      <c r="J6" s="57"/>
      <c r="K6" s="84" t="s">
        <v>326</v>
      </c>
      <c r="U6" s="12"/>
    </row>
    <row r="7" outlineLevel="1">
      <c r="A7" s="42"/>
      <c r="B7" s="124" t="s">
        <v>66</v>
      </c>
      <c r="C7" s="31">
        <f t="shared" si="1"/>
        <v>4</v>
      </c>
      <c r="D7" s="41" t="s">
        <v>338</v>
      </c>
      <c r="E7" s="43" t="s">
        <v>74</v>
      </c>
      <c r="F7" s="45" t="b">
        <v>1</v>
      </c>
      <c r="G7" s="45" t="b">
        <v>1</v>
      </c>
      <c r="H7" s="45" t="b">
        <v>1</v>
      </c>
      <c r="I7" s="45" t="b">
        <v>1</v>
      </c>
      <c r="J7" s="48"/>
      <c r="K7" s="84" t="s">
        <v>339</v>
      </c>
      <c r="U7" s="12"/>
    </row>
    <row r="8" outlineLevel="1">
      <c r="A8" s="42"/>
      <c r="B8" s="42"/>
      <c r="C8" s="31">
        <f t="shared" si="1"/>
        <v>4</v>
      </c>
      <c r="D8" s="41" t="s">
        <v>340</v>
      </c>
      <c r="E8" s="43" t="s">
        <v>128</v>
      </c>
      <c r="F8" s="45" t="b">
        <v>1</v>
      </c>
      <c r="G8" s="45" t="b">
        <v>1</v>
      </c>
      <c r="H8" s="45" t="b">
        <v>1</v>
      </c>
      <c r="I8" s="45" t="b">
        <v>1</v>
      </c>
      <c r="J8" s="48"/>
      <c r="K8" s="122" t="s">
        <v>339</v>
      </c>
      <c r="U8" s="12"/>
    </row>
    <row r="9" outlineLevel="1">
      <c r="A9" s="42"/>
      <c r="B9" s="42"/>
      <c r="C9" s="31">
        <f t="shared" si="1"/>
        <v>3</v>
      </c>
      <c r="D9" s="41" t="s">
        <v>344</v>
      </c>
      <c r="E9" s="125" t="s">
        <v>345</v>
      </c>
      <c r="F9" s="45" t="b">
        <v>1</v>
      </c>
      <c r="G9" s="45" t="b">
        <v>1</v>
      </c>
      <c r="H9" s="72" t="b">
        <v>0</v>
      </c>
      <c r="I9" s="45" t="b">
        <v>1</v>
      </c>
      <c r="J9" s="48"/>
      <c r="K9" s="84" t="s">
        <v>339</v>
      </c>
      <c r="U9" s="12"/>
    </row>
    <row r="10" outlineLevel="1">
      <c r="A10" s="49"/>
      <c r="B10" s="49"/>
      <c r="C10" s="50">
        <f t="shared" si="1"/>
        <v>4</v>
      </c>
      <c r="D10" s="52" t="s">
        <v>348</v>
      </c>
      <c r="E10" s="53" t="s">
        <v>99</v>
      </c>
      <c r="F10" s="55" t="b">
        <v>1</v>
      </c>
      <c r="G10" s="55" t="b">
        <v>1</v>
      </c>
      <c r="H10" s="55" t="b">
        <v>1</v>
      </c>
      <c r="I10" s="55" t="b">
        <v>1</v>
      </c>
      <c r="J10" s="57"/>
      <c r="K10" s="129" t="s">
        <v>350</v>
      </c>
      <c r="U10" s="12"/>
    </row>
    <row r="11" outlineLevel="1">
      <c r="A11" s="130"/>
      <c r="B11" s="132" t="s">
        <v>107</v>
      </c>
      <c r="C11" s="50">
        <f t="shared" si="1"/>
        <v>3</v>
      </c>
      <c r="D11" s="116" t="s">
        <v>370</v>
      </c>
      <c r="E11" s="133" t="s">
        <v>371</v>
      </c>
      <c r="F11" s="55" t="b">
        <v>1</v>
      </c>
      <c r="G11" s="55" t="b">
        <v>1</v>
      </c>
      <c r="H11" s="55" t="b">
        <v>1</v>
      </c>
      <c r="I11" s="55" t="b">
        <v>0</v>
      </c>
      <c r="J11" s="57"/>
      <c r="K11" s="129" t="s">
        <v>373</v>
      </c>
      <c r="U11" s="12"/>
    </row>
    <row r="12" outlineLevel="1">
      <c r="A12" s="130"/>
      <c r="B12" s="42"/>
      <c r="C12" s="50">
        <f t="shared" si="1"/>
        <v>3</v>
      </c>
      <c r="D12" s="116" t="s">
        <v>374</v>
      </c>
      <c r="E12" s="133" t="s">
        <v>375</v>
      </c>
      <c r="F12" s="55" t="b">
        <v>1</v>
      </c>
      <c r="G12" s="55" t="b">
        <v>1</v>
      </c>
      <c r="H12" s="55" t="b">
        <v>1</v>
      </c>
      <c r="I12" s="70" t="b">
        <v>0</v>
      </c>
      <c r="J12" s="57"/>
      <c r="K12" s="129" t="s">
        <v>376</v>
      </c>
      <c r="U12" s="12"/>
    </row>
    <row r="13" outlineLevel="1">
      <c r="A13" s="65" t="s">
        <v>102</v>
      </c>
      <c r="B13" s="49"/>
      <c r="C13" s="50">
        <f t="shared" si="1"/>
        <v>3</v>
      </c>
      <c r="D13" s="52" t="s">
        <v>380</v>
      </c>
      <c r="E13" s="53" t="s">
        <v>381</v>
      </c>
      <c r="F13" s="55" t="b">
        <v>1</v>
      </c>
      <c r="G13" s="55" t="b">
        <v>1</v>
      </c>
      <c r="H13" s="55" t="b">
        <v>1</v>
      </c>
      <c r="I13" s="70" t="b">
        <v>0</v>
      </c>
      <c r="J13" s="57"/>
      <c r="K13" s="129" t="s">
        <v>384</v>
      </c>
      <c r="U13" s="12"/>
    </row>
    <row r="14" outlineLevel="1">
      <c r="A14" s="42"/>
      <c r="B14" s="134" t="s">
        <v>123</v>
      </c>
      <c r="C14" s="31">
        <f t="shared" si="1"/>
        <v>3</v>
      </c>
      <c r="D14" s="41" t="s">
        <v>389</v>
      </c>
      <c r="E14" s="43" t="s">
        <v>390</v>
      </c>
      <c r="F14" s="45" t="b">
        <v>1</v>
      </c>
      <c r="G14" s="45" t="b">
        <v>1</v>
      </c>
      <c r="H14" s="45" t="b">
        <v>1</v>
      </c>
      <c r="I14" s="72" t="b">
        <v>0</v>
      </c>
      <c r="J14" s="48"/>
      <c r="K14" s="84" t="s">
        <v>393</v>
      </c>
      <c r="U14" s="12"/>
    </row>
    <row r="15" outlineLevel="1">
      <c r="A15" s="42"/>
      <c r="B15" s="42"/>
      <c r="C15" s="31">
        <f t="shared" si="1"/>
        <v>3</v>
      </c>
      <c r="D15" s="41" t="s">
        <v>395</v>
      </c>
      <c r="E15" s="43" t="s">
        <v>396</v>
      </c>
      <c r="F15" s="45" t="b">
        <v>1</v>
      </c>
      <c r="G15" s="45" t="b">
        <v>1</v>
      </c>
      <c r="H15" s="45" t="b">
        <v>1</v>
      </c>
      <c r="I15" s="72" t="b">
        <v>0</v>
      </c>
      <c r="J15" s="48"/>
      <c r="K15" s="84" t="s">
        <v>399</v>
      </c>
      <c r="U15" s="12"/>
    </row>
    <row r="16" outlineLevel="1">
      <c r="A16" s="42"/>
      <c r="B16" s="49"/>
      <c r="C16" s="50">
        <f t="shared" si="1"/>
        <v>3</v>
      </c>
      <c r="D16" s="52" t="s">
        <v>400</v>
      </c>
      <c r="E16" s="53" t="s">
        <v>401</v>
      </c>
      <c r="F16" s="55" t="b">
        <v>1</v>
      </c>
      <c r="G16" s="55" t="b">
        <v>1</v>
      </c>
      <c r="H16" s="55" t="b">
        <v>1</v>
      </c>
      <c r="I16" s="70" t="b">
        <v>0</v>
      </c>
      <c r="J16" s="57"/>
      <c r="K16" s="84" t="s">
        <v>402</v>
      </c>
      <c r="U16" s="12"/>
    </row>
    <row r="17" outlineLevel="1">
      <c r="A17" s="42"/>
      <c r="B17" s="135" t="s">
        <v>141</v>
      </c>
      <c r="C17" s="31">
        <f t="shared" si="1"/>
        <v>1</v>
      </c>
      <c r="D17" s="41" t="s">
        <v>405</v>
      </c>
      <c r="E17" s="43" t="s">
        <v>406</v>
      </c>
      <c r="F17" s="45" t="b">
        <v>1</v>
      </c>
      <c r="G17" s="45" t="b">
        <v>0</v>
      </c>
      <c r="H17" s="45" t="b">
        <v>0</v>
      </c>
      <c r="I17" s="45" t="b">
        <v>0</v>
      </c>
      <c r="J17" s="48"/>
      <c r="K17" s="84" t="s">
        <v>408</v>
      </c>
      <c r="U17" s="12"/>
    </row>
    <row r="18" outlineLevel="1">
      <c r="A18" s="42"/>
      <c r="B18" s="49"/>
      <c r="C18" s="50">
        <f t="shared" si="1"/>
        <v>3</v>
      </c>
      <c r="D18" s="52" t="s">
        <v>409</v>
      </c>
      <c r="E18" s="53" t="s">
        <v>410</v>
      </c>
      <c r="F18" s="55" t="b">
        <v>1</v>
      </c>
      <c r="G18" s="55" t="b">
        <v>1</v>
      </c>
      <c r="H18" s="55" t="b">
        <v>1</v>
      </c>
      <c r="I18" s="70" t="b">
        <v>0</v>
      </c>
      <c r="J18" s="57"/>
      <c r="K18" s="129" t="s">
        <v>413</v>
      </c>
      <c r="U18" s="12"/>
    </row>
    <row r="19" outlineLevel="1">
      <c r="A19" s="49"/>
      <c r="B19" s="136" t="s">
        <v>156</v>
      </c>
      <c r="C19" s="50">
        <f t="shared" si="1"/>
        <v>3</v>
      </c>
      <c r="D19" s="52" t="s">
        <v>416</v>
      </c>
      <c r="E19" s="53" t="s">
        <v>417</v>
      </c>
      <c r="F19" s="55" t="b">
        <v>1</v>
      </c>
      <c r="G19" s="55" t="b">
        <v>1</v>
      </c>
      <c r="H19" s="55" t="b">
        <v>1</v>
      </c>
      <c r="I19" s="70" t="b">
        <v>0</v>
      </c>
      <c r="J19" s="57"/>
      <c r="K19" s="129" t="s">
        <v>420</v>
      </c>
      <c r="U19" s="12"/>
    </row>
    <row r="20" outlineLevel="1">
      <c r="A20" s="81" t="s">
        <v>183</v>
      </c>
      <c r="B20" s="137" t="s">
        <v>107</v>
      </c>
      <c r="C20" s="31">
        <f t="shared" si="1"/>
        <v>4</v>
      </c>
      <c r="D20" s="41" t="s">
        <v>423</v>
      </c>
      <c r="E20" s="43" t="s">
        <v>371</v>
      </c>
      <c r="F20" s="45" t="b">
        <v>1</v>
      </c>
      <c r="G20" s="45" t="b">
        <v>1</v>
      </c>
      <c r="H20" s="45" t="b">
        <v>1</v>
      </c>
      <c r="I20" s="45" t="b">
        <v>1</v>
      </c>
      <c r="J20" s="48"/>
      <c r="K20" s="84" t="s">
        <v>424</v>
      </c>
      <c r="U20" s="12"/>
    </row>
    <row r="21" outlineLevel="1">
      <c r="A21" s="42"/>
      <c r="B21" s="42"/>
      <c r="C21" s="31">
        <f t="shared" si="1"/>
        <v>4</v>
      </c>
      <c r="D21" s="41" t="s">
        <v>425</v>
      </c>
      <c r="E21" s="43" t="s">
        <v>426</v>
      </c>
      <c r="F21" s="45" t="b">
        <v>1</v>
      </c>
      <c r="G21" s="45" t="b">
        <v>1</v>
      </c>
      <c r="H21" s="45" t="b">
        <v>1</v>
      </c>
      <c r="I21" s="45" t="b">
        <v>1</v>
      </c>
      <c r="J21" s="48"/>
      <c r="K21" s="84" t="s">
        <v>427</v>
      </c>
      <c r="U21" s="12"/>
    </row>
    <row r="22" outlineLevel="1">
      <c r="A22" s="42"/>
      <c r="B22" s="49"/>
      <c r="C22" s="50">
        <f t="shared" si="1"/>
        <v>4</v>
      </c>
      <c r="D22" s="52" t="s">
        <v>430</v>
      </c>
      <c r="E22" s="53" t="s">
        <v>431</v>
      </c>
      <c r="F22" s="55" t="b">
        <v>1</v>
      </c>
      <c r="G22" s="55" t="b">
        <v>1</v>
      </c>
      <c r="H22" s="55" t="b">
        <v>1</v>
      </c>
      <c r="I22" s="55" t="b">
        <v>1</v>
      </c>
      <c r="J22" s="57"/>
      <c r="K22" s="84" t="s">
        <v>432</v>
      </c>
      <c r="U22" s="12"/>
    </row>
    <row r="23" outlineLevel="1">
      <c r="A23" s="42"/>
      <c r="B23" s="139" t="s">
        <v>123</v>
      </c>
      <c r="C23" s="31">
        <f t="shared" si="1"/>
        <v>4</v>
      </c>
      <c r="D23" s="41" t="s">
        <v>435</v>
      </c>
      <c r="E23" s="43" t="s">
        <v>436</v>
      </c>
      <c r="F23" s="45" t="b">
        <v>1</v>
      </c>
      <c r="G23" s="45" t="b">
        <v>1</v>
      </c>
      <c r="H23" s="45" t="b">
        <v>1</v>
      </c>
      <c r="I23" s="45" t="b">
        <v>1</v>
      </c>
      <c r="J23" s="48"/>
      <c r="K23" s="84" t="s">
        <v>437</v>
      </c>
      <c r="U23" s="12"/>
    </row>
    <row r="24" outlineLevel="1">
      <c r="A24" s="42"/>
      <c r="B24" s="42"/>
      <c r="C24" s="31">
        <f t="shared" si="1"/>
        <v>4</v>
      </c>
      <c r="D24" s="41" t="s">
        <v>438</v>
      </c>
      <c r="E24" s="43" t="s">
        <v>439</v>
      </c>
      <c r="F24" s="45" t="b">
        <v>1</v>
      </c>
      <c r="G24" s="45" t="b">
        <v>1</v>
      </c>
      <c r="H24" s="45" t="b">
        <v>1</v>
      </c>
      <c r="I24" s="45" t="b">
        <v>1</v>
      </c>
      <c r="J24" s="48"/>
      <c r="K24" s="84" t="s">
        <v>442</v>
      </c>
      <c r="U24" s="12"/>
    </row>
    <row r="25" outlineLevel="1">
      <c r="A25" s="42"/>
      <c r="B25" s="49"/>
      <c r="C25" s="31">
        <f t="shared" si="1"/>
        <v>4</v>
      </c>
      <c r="D25" s="52" t="s">
        <v>443</v>
      </c>
      <c r="E25" s="53" t="s">
        <v>444</v>
      </c>
      <c r="F25" s="55" t="b">
        <v>1</v>
      </c>
      <c r="G25" s="55" t="b">
        <v>1</v>
      </c>
      <c r="H25" s="55" t="b">
        <v>1</v>
      </c>
      <c r="I25" s="55" t="b">
        <v>1</v>
      </c>
      <c r="J25" s="57"/>
      <c r="K25" s="84" t="s">
        <v>447</v>
      </c>
      <c r="U25" s="12"/>
    </row>
    <row r="26" outlineLevel="1">
      <c r="A26" s="42"/>
      <c r="B26" s="141" t="s">
        <v>141</v>
      </c>
      <c r="C26" s="31">
        <f t="shared" si="1"/>
        <v>4</v>
      </c>
      <c r="D26" s="41" t="s">
        <v>450</v>
      </c>
      <c r="E26" s="43" t="s">
        <v>451</v>
      </c>
      <c r="F26" s="45" t="b">
        <v>1</v>
      </c>
      <c r="G26" s="45" t="b">
        <v>1</v>
      </c>
      <c r="H26" s="45" t="b">
        <v>1</v>
      </c>
      <c r="I26" s="45" t="b">
        <v>1</v>
      </c>
      <c r="J26" s="48"/>
      <c r="K26" s="84" t="s">
        <v>452</v>
      </c>
      <c r="U26" s="12"/>
    </row>
    <row r="27" outlineLevel="1">
      <c r="A27" s="42"/>
      <c r="B27" s="42"/>
      <c r="C27" s="31">
        <f t="shared" si="1"/>
        <v>4</v>
      </c>
      <c r="D27" s="41" t="s">
        <v>453</v>
      </c>
      <c r="E27" s="43" t="s">
        <v>454</v>
      </c>
      <c r="F27" s="45" t="b">
        <v>1</v>
      </c>
      <c r="G27" s="45" t="b">
        <v>1</v>
      </c>
      <c r="H27" s="45" t="b">
        <v>1</v>
      </c>
      <c r="I27" s="45" t="b">
        <v>1</v>
      </c>
      <c r="J27" s="48"/>
      <c r="K27" s="84" t="s">
        <v>455</v>
      </c>
      <c r="U27" s="12"/>
    </row>
    <row r="28" outlineLevel="1">
      <c r="A28" s="42"/>
      <c r="B28" s="49"/>
      <c r="C28" s="31">
        <f t="shared" si="1"/>
        <v>4</v>
      </c>
      <c r="D28" s="41" t="s">
        <v>457</v>
      </c>
      <c r="E28" s="43" t="s">
        <v>459</v>
      </c>
      <c r="F28" s="45" t="b">
        <v>1</v>
      </c>
      <c r="G28" s="45" t="b">
        <v>1</v>
      </c>
      <c r="H28" s="45" t="b">
        <v>1</v>
      </c>
      <c r="I28" s="45" t="b">
        <v>1</v>
      </c>
      <c r="J28" s="48"/>
      <c r="K28" s="84" t="s">
        <v>460</v>
      </c>
      <c r="U28" s="12"/>
    </row>
    <row r="29" outlineLevel="1">
      <c r="A29" s="49"/>
      <c r="B29" s="143" t="s">
        <v>156</v>
      </c>
      <c r="C29" s="31">
        <f t="shared" si="1"/>
        <v>4</v>
      </c>
      <c r="D29" s="52" t="s">
        <v>466</v>
      </c>
      <c r="E29" s="53" t="s">
        <v>467</v>
      </c>
      <c r="F29" s="55" t="b">
        <v>1</v>
      </c>
      <c r="G29" s="55" t="b">
        <v>1</v>
      </c>
      <c r="H29" s="55" t="b">
        <v>1</v>
      </c>
      <c r="I29" s="55" t="b">
        <v>1</v>
      </c>
      <c r="J29" s="61"/>
      <c r="K29" s="84" t="s">
        <v>469</v>
      </c>
      <c r="U29" s="12"/>
    </row>
    <row r="30">
      <c r="A30" s="91"/>
      <c r="B30" s="91"/>
      <c r="C30" s="145"/>
      <c r="D30" s="91"/>
      <c r="E30" s="91"/>
      <c r="F30" s="91"/>
      <c r="G30" s="91"/>
      <c r="H30" s="91"/>
      <c r="I30" s="91"/>
      <c r="J30" s="91"/>
      <c r="K30" s="91"/>
      <c r="U30" s="12"/>
    </row>
    <row r="31" ht="75.0" customHeight="1" outlineLevel="1">
      <c r="A31" s="93" t="s">
        <v>2</v>
      </c>
      <c r="C31" s="94" t="s">
        <v>257</v>
      </c>
      <c r="D31" s="8">
        <f>countif(L34:L58,TRUE)</f>
        <v>7</v>
      </c>
      <c r="E31" s="95" t="s">
        <v>262</v>
      </c>
      <c r="F31" s="94" t="s">
        <v>263</v>
      </c>
      <c r="H31" s="97">
        <f>IFERROR(__xludf.DUMMYFUNCTION("COUNTUNIQUE(D5:D29)"),25.0)</f>
        <v>25</v>
      </c>
      <c r="I31" s="98" t="s">
        <v>264</v>
      </c>
      <c r="J31" s="99"/>
      <c r="K31" s="99">
        <f>H31/3</f>
        <v>8.333333333</v>
      </c>
      <c r="L31" s="100"/>
      <c r="M31" s="100"/>
      <c r="N31" s="100"/>
      <c r="O31" s="100"/>
      <c r="P31" s="100"/>
      <c r="Q31" s="100"/>
      <c r="R31" s="100"/>
      <c r="S31" s="100"/>
      <c r="T31" s="100"/>
      <c r="U31" s="102"/>
    </row>
    <row r="32">
      <c r="A32" s="103" t="s">
        <v>272</v>
      </c>
      <c r="B32" s="104"/>
      <c r="C32" s="146">
        <v>0.0</v>
      </c>
      <c r="D32" s="3"/>
      <c r="E32" s="106" t="s">
        <v>274</v>
      </c>
      <c r="F32" s="3"/>
      <c r="G32" s="3"/>
      <c r="H32" s="3"/>
      <c r="I32" s="3"/>
      <c r="J32" s="3"/>
      <c r="K32" s="3"/>
      <c r="U32" s="12"/>
    </row>
    <row r="33">
      <c r="A33" s="107" t="s">
        <v>8</v>
      </c>
      <c r="B33" s="20"/>
      <c r="C33" s="108" t="s">
        <v>10</v>
      </c>
      <c r="D33" s="108" t="s">
        <v>11</v>
      </c>
      <c r="E33" s="26" t="s">
        <v>12</v>
      </c>
      <c r="F33" s="23" t="s">
        <v>13</v>
      </c>
      <c r="G33" s="23" t="s">
        <v>14</v>
      </c>
      <c r="H33" s="23" t="s">
        <v>15</v>
      </c>
      <c r="I33" s="23" t="s">
        <v>16</v>
      </c>
      <c r="J33" s="23"/>
      <c r="K33" s="23" t="s">
        <v>17</v>
      </c>
      <c r="L33" s="25" t="s">
        <v>275</v>
      </c>
      <c r="U33" s="12"/>
    </row>
    <row r="34">
      <c r="A34" s="28" t="s">
        <v>18</v>
      </c>
      <c r="B34" s="119" t="s">
        <v>25</v>
      </c>
      <c r="C34" s="146">
        <f t="shared" ref="C34:C58" si="4">countif(F34:I34,TRUE)</f>
        <v>3</v>
      </c>
      <c r="D34" s="3" t="str">
        <f t="shared" ref="D34:I34" si="2">if($C5&gt;$C$32,D5,"")</f>
        <v>RF.5.3</v>
      </c>
      <c r="E34" s="109" t="str">
        <f t="shared" si="2"/>
        <v>Know and apply grade-level phonics and word analysis skills in decoding words.</v>
      </c>
      <c r="F34" s="110" t="b">
        <f t="shared" si="2"/>
        <v>1</v>
      </c>
      <c r="G34" s="110" t="b">
        <f t="shared" si="2"/>
        <v>1</v>
      </c>
      <c r="H34" s="110" t="b">
        <f t="shared" si="2"/>
        <v>0</v>
      </c>
      <c r="I34" s="110" t="b">
        <f t="shared" si="2"/>
        <v>1</v>
      </c>
      <c r="J34" s="3"/>
      <c r="K34" s="109" t="str">
        <f t="shared" ref="K34:K58" si="6">if($C5&gt;$C$32,K5,"")</f>
        <v>R- helps with vocabulary development; E- can apply skills to words learned in other grades; L- Can use skills to determine vocabulary in other subjects</v>
      </c>
      <c r="L34" s="111" t="b">
        <v>0</v>
      </c>
      <c r="M34" s="3" t="str">
        <f t="shared" ref="M34:U34" si="3">if($L34=TRUE,C34,"")</f>
        <v/>
      </c>
      <c r="N34" s="3" t="str">
        <f t="shared" si="3"/>
        <v/>
      </c>
      <c r="O34" s="3" t="str">
        <f t="shared" si="3"/>
        <v/>
      </c>
      <c r="P34" s="3" t="str">
        <f t="shared" si="3"/>
        <v/>
      </c>
      <c r="Q34" s="3" t="str">
        <f t="shared" si="3"/>
        <v/>
      </c>
      <c r="R34" s="3" t="str">
        <f t="shared" si="3"/>
        <v/>
      </c>
      <c r="S34" s="3" t="str">
        <f t="shared" si="3"/>
        <v/>
      </c>
      <c r="T34" s="3" t="str">
        <f t="shared" si="3"/>
        <v/>
      </c>
      <c r="U34" s="112" t="str">
        <f t="shared" si="3"/>
        <v/>
      </c>
    </row>
    <row r="35">
      <c r="A35" s="42"/>
      <c r="B35" s="49"/>
      <c r="C35" s="146">
        <f t="shared" si="4"/>
        <v>3</v>
      </c>
      <c r="D35" s="3" t="str">
        <f t="shared" ref="D35:I35" si="5">if($C6&gt;$C$32,D6,"")</f>
        <v>RF.5.3a</v>
      </c>
      <c r="E35" s="109" t="str">
        <f t="shared" si="5"/>
        <v>Use combined knowledge of all lettersound correspondences, syllabication patterns, and morphology (e.g., roots and affixes) to read accurately unfamiliar multisyllabic words in context and out of context</v>
      </c>
      <c r="F35" s="110" t="b">
        <f t="shared" si="5"/>
        <v>1</v>
      </c>
      <c r="G35" s="110" t="b">
        <f t="shared" si="5"/>
        <v>1</v>
      </c>
      <c r="H35" s="110" t="b">
        <f t="shared" si="5"/>
        <v>0</v>
      </c>
      <c r="I35" s="110" t="b">
        <f t="shared" si="5"/>
        <v>1</v>
      </c>
      <c r="J35" s="3"/>
      <c r="K35" s="109" t="str">
        <f t="shared" si="6"/>
        <v>R- helps with vocabulary development; E- can apply skills to words learned in other grades; L- Can use skills to determine vocabulary in other subjects</v>
      </c>
      <c r="L35" s="111" t="b">
        <v>0</v>
      </c>
      <c r="M35" s="3" t="str">
        <f t="shared" ref="M35:U35" si="7">if($L35=TRUE,C35,"")</f>
        <v/>
      </c>
      <c r="N35" s="3" t="str">
        <f t="shared" si="7"/>
        <v/>
      </c>
      <c r="O35" s="3" t="str">
        <f t="shared" si="7"/>
        <v/>
      </c>
      <c r="P35" s="3" t="str">
        <f t="shared" si="7"/>
        <v/>
      </c>
      <c r="Q35" s="3" t="str">
        <f t="shared" si="7"/>
        <v/>
      </c>
      <c r="R35" s="3" t="str">
        <f t="shared" si="7"/>
        <v/>
      </c>
      <c r="S35" s="3" t="str">
        <f t="shared" si="7"/>
        <v/>
      </c>
      <c r="T35" s="3" t="str">
        <f t="shared" si="7"/>
        <v/>
      </c>
      <c r="U35" s="112" t="str">
        <f t="shared" si="7"/>
        <v/>
      </c>
    </row>
    <row r="36">
      <c r="A36" s="42"/>
      <c r="B36" s="124" t="s">
        <v>66</v>
      </c>
      <c r="C36" s="146">
        <f t="shared" si="4"/>
        <v>4</v>
      </c>
      <c r="D36" s="3" t="str">
        <f t="shared" ref="D36:I36" si="8">if($C7&gt;$C$32,D7,"")</f>
        <v>RF.5.4</v>
      </c>
      <c r="E36" s="109" t="str">
        <f t="shared" si="8"/>
        <v>Read with sufficient accuracy and fluency to support comprehension.</v>
      </c>
      <c r="F36" s="110" t="b">
        <f t="shared" si="8"/>
        <v>1</v>
      </c>
      <c r="G36" s="110" t="b">
        <f t="shared" si="8"/>
        <v>1</v>
      </c>
      <c r="H36" s="110" t="b">
        <f t="shared" si="8"/>
        <v>1</v>
      </c>
      <c r="I36" s="110" t="b">
        <f t="shared" si="8"/>
        <v>1</v>
      </c>
      <c r="J36" s="3"/>
      <c r="K36" s="109" t="str">
        <f t="shared" si="6"/>
        <v>This standard is needed in order for students to read more complex text</v>
      </c>
      <c r="L36" s="111" t="b">
        <v>0</v>
      </c>
      <c r="M36" s="3" t="str">
        <f t="shared" ref="M36:U36" si="9">if($L36=TRUE,C36,"")</f>
        <v/>
      </c>
      <c r="N36" s="3" t="str">
        <f t="shared" si="9"/>
        <v/>
      </c>
      <c r="O36" s="3" t="str">
        <f t="shared" si="9"/>
        <v/>
      </c>
      <c r="P36" s="3" t="str">
        <f t="shared" si="9"/>
        <v/>
      </c>
      <c r="Q36" s="3" t="str">
        <f t="shared" si="9"/>
        <v/>
      </c>
      <c r="R36" s="3" t="str">
        <f t="shared" si="9"/>
        <v/>
      </c>
      <c r="S36" s="3" t="str">
        <f t="shared" si="9"/>
        <v/>
      </c>
      <c r="T36" s="3" t="str">
        <f t="shared" si="9"/>
        <v/>
      </c>
      <c r="U36" s="112" t="str">
        <f t="shared" si="9"/>
        <v/>
      </c>
    </row>
    <row r="37">
      <c r="A37" s="42"/>
      <c r="B37" s="42"/>
      <c r="C37" s="146">
        <f t="shared" si="4"/>
        <v>4</v>
      </c>
      <c r="D37" s="3" t="str">
        <f t="shared" ref="D37:I37" si="10">if($C8&gt;$C$32,D8,"")</f>
        <v>RF.5.4a</v>
      </c>
      <c r="E37" s="109" t="str">
        <f t="shared" si="10"/>
        <v>Read grade-level text with purpose and understanding.</v>
      </c>
      <c r="F37" s="110" t="b">
        <f t="shared" si="10"/>
        <v>1</v>
      </c>
      <c r="G37" s="110" t="b">
        <f t="shared" si="10"/>
        <v>1</v>
      </c>
      <c r="H37" s="110" t="b">
        <f t="shared" si="10"/>
        <v>1</v>
      </c>
      <c r="I37" s="110" t="b">
        <f t="shared" si="10"/>
        <v>1</v>
      </c>
      <c r="J37" s="3"/>
      <c r="K37" s="109" t="str">
        <f t="shared" si="6"/>
        <v>This standard is needed in order for students to read more complex text</v>
      </c>
      <c r="L37" s="111" t="b">
        <v>0</v>
      </c>
      <c r="M37" s="3" t="str">
        <f t="shared" ref="M37:U37" si="11">if($L37=TRUE,C37,"")</f>
        <v/>
      </c>
      <c r="N37" s="3" t="str">
        <f t="shared" si="11"/>
        <v/>
      </c>
      <c r="O37" s="3" t="str">
        <f t="shared" si="11"/>
        <v/>
      </c>
      <c r="P37" s="3" t="str">
        <f t="shared" si="11"/>
        <v/>
      </c>
      <c r="Q37" s="3" t="str">
        <f t="shared" si="11"/>
        <v/>
      </c>
      <c r="R37" s="3" t="str">
        <f t="shared" si="11"/>
        <v/>
      </c>
      <c r="S37" s="3" t="str">
        <f t="shared" si="11"/>
        <v/>
      </c>
      <c r="T37" s="3" t="str">
        <f t="shared" si="11"/>
        <v/>
      </c>
      <c r="U37" s="112" t="str">
        <f t="shared" si="11"/>
        <v/>
      </c>
    </row>
    <row r="38">
      <c r="A38" s="42"/>
      <c r="B38" s="42"/>
      <c r="C38" s="146">
        <f t="shared" si="4"/>
        <v>3</v>
      </c>
      <c r="D38" s="3" t="str">
        <f t="shared" ref="D38:I38" si="12">if($C9&gt;$C$32,D9,"")</f>
        <v>RF.5.4b</v>
      </c>
      <c r="E38" s="109" t="str">
        <f t="shared" si="12"/>
        <v>Read grade-level prose and poetry orally with accuracy, appropriate rate, and expression</v>
      </c>
      <c r="F38" s="110" t="b">
        <f t="shared" si="12"/>
        <v>1</v>
      </c>
      <c r="G38" s="110" t="b">
        <f t="shared" si="12"/>
        <v>1</v>
      </c>
      <c r="H38" s="110" t="b">
        <f t="shared" si="12"/>
        <v>0</v>
      </c>
      <c r="I38" s="110" t="b">
        <f t="shared" si="12"/>
        <v>1</v>
      </c>
      <c r="J38" s="3"/>
      <c r="K38" s="109" t="str">
        <f t="shared" si="6"/>
        <v>This standard is needed in order for students to read more complex text</v>
      </c>
      <c r="L38" s="113" t="b">
        <v>0</v>
      </c>
      <c r="M38" s="3" t="str">
        <f t="shared" ref="M38:U38" si="13">if($L38=TRUE,C38,"")</f>
        <v/>
      </c>
      <c r="N38" s="3" t="str">
        <f t="shared" si="13"/>
        <v/>
      </c>
      <c r="O38" s="3" t="str">
        <f t="shared" si="13"/>
        <v/>
      </c>
      <c r="P38" s="3" t="str">
        <f t="shared" si="13"/>
        <v/>
      </c>
      <c r="Q38" s="3" t="str">
        <f t="shared" si="13"/>
        <v/>
      </c>
      <c r="R38" s="3" t="str">
        <f t="shared" si="13"/>
        <v/>
      </c>
      <c r="S38" s="3" t="str">
        <f t="shared" si="13"/>
        <v/>
      </c>
      <c r="T38" s="3" t="str">
        <f t="shared" si="13"/>
        <v/>
      </c>
      <c r="U38" s="112" t="str">
        <f t="shared" si="13"/>
        <v/>
      </c>
    </row>
    <row r="39">
      <c r="A39" s="49"/>
      <c r="B39" s="49"/>
      <c r="C39" s="146">
        <f t="shared" si="4"/>
        <v>4</v>
      </c>
      <c r="D39" s="3" t="str">
        <f t="shared" ref="D39:I39" si="14">if($C10&gt;$C$32,D10,"")</f>
        <v>RF.5.4c</v>
      </c>
      <c r="E39" s="109" t="str">
        <f t="shared" si="14"/>
        <v>Use context to confirm or self-correct word recognition and understanding, rereading as necessary.</v>
      </c>
      <c r="F39" s="110" t="b">
        <f t="shared" si="14"/>
        <v>1</v>
      </c>
      <c r="G39" s="110" t="b">
        <f t="shared" si="14"/>
        <v>1</v>
      </c>
      <c r="H39" s="110" t="b">
        <f t="shared" si="14"/>
        <v>1</v>
      </c>
      <c r="I39" s="110" t="b">
        <f t="shared" si="14"/>
        <v>1</v>
      </c>
      <c r="J39" s="3"/>
      <c r="K39" s="109" t="str">
        <f t="shared" si="6"/>
        <v>Helps with vocabulary understanding and for when students are reading more complex text</v>
      </c>
      <c r="L39" s="113" t="b">
        <v>0</v>
      </c>
      <c r="M39" s="3" t="str">
        <f t="shared" ref="M39:U39" si="15">if($L39=TRUE,C39,"")</f>
        <v/>
      </c>
      <c r="N39" s="3" t="str">
        <f t="shared" si="15"/>
        <v/>
      </c>
      <c r="O39" s="3" t="str">
        <f t="shared" si="15"/>
        <v/>
      </c>
      <c r="P39" s="3" t="str">
        <f t="shared" si="15"/>
        <v/>
      </c>
      <c r="Q39" s="3" t="str">
        <f t="shared" si="15"/>
        <v/>
      </c>
      <c r="R39" s="3" t="str">
        <f t="shared" si="15"/>
        <v/>
      </c>
      <c r="S39" s="3" t="str">
        <f t="shared" si="15"/>
        <v/>
      </c>
      <c r="T39" s="3" t="str">
        <f t="shared" si="15"/>
        <v/>
      </c>
      <c r="U39" s="112" t="str">
        <f t="shared" si="15"/>
        <v/>
      </c>
    </row>
    <row r="40">
      <c r="A40" s="130"/>
      <c r="B40" s="132" t="s">
        <v>107</v>
      </c>
      <c r="C40" s="146">
        <f t="shared" si="4"/>
        <v>3</v>
      </c>
      <c r="D40" s="3" t="str">
        <f t="shared" ref="D40:I40" si="16">if($C11&gt;$C$32,D11,"")</f>
        <v>RL.5.1</v>
      </c>
      <c r="E40" s="109" t="str">
        <f t="shared" si="16"/>
        <v>Quote accurately from a text when explaining what the text says explicitly and when drawing inferences from the text.</v>
      </c>
      <c r="F40" s="110" t="b">
        <f t="shared" si="16"/>
        <v>1</v>
      </c>
      <c r="G40" s="110" t="b">
        <f t="shared" si="16"/>
        <v>1</v>
      </c>
      <c r="H40" s="110" t="b">
        <f t="shared" si="16"/>
        <v>1</v>
      </c>
      <c r="I40" s="110" t="b">
        <f t="shared" si="16"/>
        <v>0</v>
      </c>
      <c r="J40" s="3"/>
      <c r="K40" s="109" t="str">
        <f t="shared" si="6"/>
        <v>R- in 6th students are expected to cite; E- students will be asked to provide evidence anytime they answer questions; A- we can assume; L- no leverage since based on literature</v>
      </c>
      <c r="L40" s="111" t="b">
        <v>1</v>
      </c>
      <c r="M40" s="3"/>
      <c r="N40" s="3"/>
      <c r="O40" s="3"/>
      <c r="P40" s="3"/>
      <c r="Q40" s="3"/>
      <c r="R40" s="3"/>
      <c r="S40" s="3"/>
      <c r="T40" s="3"/>
      <c r="U40" s="112"/>
    </row>
    <row r="41">
      <c r="A41" s="130"/>
      <c r="B41" s="42"/>
      <c r="C41" s="146">
        <f t="shared" si="4"/>
        <v>3</v>
      </c>
      <c r="D41" s="3" t="str">
        <f t="shared" ref="D41:I41" si="17">if($C12&gt;$C$32,D12,"")</f>
        <v>RL.5.2</v>
      </c>
      <c r="E41" s="109" t="str">
        <f t="shared" si="17"/>
        <v>Determine a theme of a story, drama, or poem from details in the text, including how characters in a story or drama respond to challenges or how the speaker in a poem reflects upon a topic; summarize the text.</v>
      </c>
      <c r="F41" s="110" t="b">
        <f t="shared" si="17"/>
        <v>1</v>
      </c>
      <c r="G41" s="110" t="b">
        <f t="shared" si="17"/>
        <v>1</v>
      </c>
      <c r="H41" s="110" t="b">
        <f t="shared" si="17"/>
        <v>1</v>
      </c>
      <c r="I41" s="110" t="b">
        <f t="shared" si="17"/>
        <v>0</v>
      </c>
      <c r="J41" s="3"/>
      <c r="K41" s="109" t="str">
        <f t="shared" si="6"/>
        <v>R- Need in 5th because 6th expects students to explain how author showed theme and to do RL.5.9; E- as years go on, expectations become more complex; A- we assume it is; L- summarizing and theme do not have leverage in other subjects because it is based on fiction</v>
      </c>
      <c r="L41" s="113" t="b">
        <v>0</v>
      </c>
      <c r="M41" s="3"/>
      <c r="N41" s="3"/>
      <c r="O41" s="3"/>
      <c r="P41" s="3"/>
      <c r="Q41" s="3"/>
      <c r="R41" s="3"/>
      <c r="S41" s="3"/>
      <c r="T41" s="3"/>
      <c r="U41" s="112"/>
    </row>
    <row r="42">
      <c r="A42" s="65" t="s">
        <v>102</v>
      </c>
      <c r="B42" s="49"/>
      <c r="C42" s="146">
        <f t="shared" si="4"/>
        <v>3</v>
      </c>
      <c r="D42" s="3" t="str">
        <f t="shared" ref="D42:I42" si="18">if($C13&gt;$C$32,D13,"")</f>
        <v>RL.5.3</v>
      </c>
      <c r="E42" s="109" t="str">
        <f t="shared" si="18"/>
        <v>Compare and contrast two or more characters, settings, or events in a story or drama, drawing on specific details in the text (e.g., how characters interact).</v>
      </c>
      <c r="F42" s="110" t="b">
        <f t="shared" si="18"/>
        <v>1</v>
      </c>
      <c r="G42" s="110" t="b">
        <f t="shared" si="18"/>
        <v>1</v>
      </c>
      <c r="H42" s="110" t="b">
        <f t="shared" si="18"/>
        <v>1</v>
      </c>
      <c r="I42" s="110" t="b">
        <f t="shared" si="18"/>
        <v>0</v>
      </c>
      <c r="J42" s="3"/>
      <c r="K42" s="109" t="str">
        <f t="shared" si="6"/>
        <v>R- need to understand characters, settings, and events in order to later show how they interact; E- builds as text becomes more complex; A- we can assume; L- not used in other subjects due to being fiction</v>
      </c>
      <c r="L42" s="111" t="b">
        <v>1</v>
      </c>
      <c r="M42" s="3">
        <f t="shared" ref="M42:U42" si="19">if($L42=TRUE,C42,"")</f>
        <v>3</v>
      </c>
      <c r="N42" s="3" t="str">
        <f t="shared" si="19"/>
        <v>RL.5.3</v>
      </c>
      <c r="O42" s="3" t="str">
        <f t="shared" si="19"/>
        <v>Compare and contrast two or more characters, settings, or events in a story or drama, drawing on specific details in the text (e.g., how characters interact).</v>
      </c>
      <c r="P42" s="3" t="b">
        <f t="shared" si="19"/>
        <v>1</v>
      </c>
      <c r="Q42" s="3" t="b">
        <f t="shared" si="19"/>
        <v>1</v>
      </c>
      <c r="R42" s="3" t="b">
        <f t="shared" si="19"/>
        <v>1</v>
      </c>
      <c r="S42" s="3" t="b">
        <f t="shared" si="19"/>
        <v>0</v>
      </c>
      <c r="T42" s="3" t="str">
        <f t="shared" si="19"/>
        <v/>
      </c>
      <c r="U42" s="112" t="str">
        <f t="shared" si="19"/>
        <v>R- need to understand characters, settings, and events in order to later show how they interact; E- builds as text becomes more complex; A- we can assume; L- not used in other subjects due to being fiction</v>
      </c>
    </row>
    <row r="43">
      <c r="A43" s="42"/>
      <c r="B43" s="134" t="s">
        <v>123</v>
      </c>
      <c r="C43" s="146">
        <f t="shared" si="4"/>
        <v>3</v>
      </c>
      <c r="D43" s="3" t="str">
        <f t="shared" ref="D43:I43" si="20">if($C14&gt;$C$32,D14,"")</f>
        <v>RL.5.4</v>
      </c>
      <c r="E43" s="109" t="str">
        <f t="shared" si="20"/>
        <v>Determine the meaning of words and phrases as they are used in a text, including figurative language such as metaphors and similes</v>
      </c>
      <c r="F43" s="110" t="b">
        <f t="shared" si="20"/>
        <v>1</v>
      </c>
      <c r="G43" s="110" t="b">
        <f t="shared" si="20"/>
        <v>1</v>
      </c>
      <c r="H43" s="110" t="b">
        <f t="shared" si="20"/>
        <v>1</v>
      </c>
      <c r="I43" s="110" t="b">
        <f t="shared" si="20"/>
        <v>0</v>
      </c>
      <c r="J43" s="3"/>
      <c r="K43" s="109" t="str">
        <f t="shared" si="6"/>
        <v>R- need to know because 6th grade adds in connotation; E- understanding language deepens comprehension; A- we can assume; L- not used in other subjects because it is based on fiction</v>
      </c>
      <c r="L43" s="111" t="b">
        <v>1</v>
      </c>
      <c r="M43" s="3">
        <f t="shared" ref="M43:U43" si="21">if($L43=TRUE,C43,"")</f>
        <v>3</v>
      </c>
      <c r="N43" s="3" t="str">
        <f t="shared" si="21"/>
        <v>RL.5.4</v>
      </c>
      <c r="O43" s="3" t="str">
        <f t="shared" si="21"/>
        <v>Determine the meaning of words and phrases as they are used in a text, including figurative language such as metaphors and similes</v>
      </c>
      <c r="P43" s="3" t="b">
        <f t="shared" si="21"/>
        <v>1</v>
      </c>
      <c r="Q43" s="3" t="b">
        <f t="shared" si="21"/>
        <v>1</v>
      </c>
      <c r="R43" s="3" t="b">
        <f t="shared" si="21"/>
        <v>1</v>
      </c>
      <c r="S43" s="3" t="b">
        <f t="shared" si="21"/>
        <v>0</v>
      </c>
      <c r="T43" s="3" t="str">
        <f t="shared" si="21"/>
        <v/>
      </c>
      <c r="U43" s="112" t="str">
        <f t="shared" si="21"/>
        <v>R- need to know because 6th grade adds in connotation; E- understanding language deepens comprehension; A- we can assume; L- not used in other subjects because it is based on fiction</v>
      </c>
    </row>
    <row r="44">
      <c r="A44" s="42"/>
      <c r="B44" s="42"/>
      <c r="C44" s="146">
        <f t="shared" si="4"/>
        <v>3</v>
      </c>
      <c r="D44" s="3" t="str">
        <f t="shared" ref="D44:I44" si="22">if($C15&gt;$C$32,D15,"")</f>
        <v>RL.5.5</v>
      </c>
      <c r="E44" s="109" t="str">
        <f t="shared" si="22"/>
        <v>Explain how a series of chapters, scenes, or stanzas fits together to provide the overall structure of a particular story, drama, or poem.</v>
      </c>
      <c r="F44" s="110" t="b">
        <f t="shared" si="22"/>
        <v>1</v>
      </c>
      <c r="G44" s="110" t="b">
        <f t="shared" si="22"/>
        <v>1</v>
      </c>
      <c r="H44" s="110" t="b">
        <f t="shared" si="22"/>
        <v>1</v>
      </c>
      <c r="I44" s="110" t="b">
        <f t="shared" si="22"/>
        <v>0</v>
      </c>
      <c r="J44" s="3"/>
      <c r="K44" s="109" t="str">
        <f t="shared" si="6"/>
        <v>R- need to know because 6th asks students analyze how section was developed; E- students are expected to analyze sections meaning as text becomes more complex; A- we can assume; L- not used in other subjects because it is based on fiction</v>
      </c>
      <c r="L44" s="113" t="b">
        <v>0</v>
      </c>
      <c r="M44" s="3" t="str">
        <f t="shared" ref="M44:U44" si="23">if($L44=TRUE,C44,"")</f>
        <v/>
      </c>
      <c r="N44" s="3" t="str">
        <f t="shared" si="23"/>
        <v/>
      </c>
      <c r="O44" s="3" t="str">
        <f t="shared" si="23"/>
        <v/>
      </c>
      <c r="P44" s="3" t="str">
        <f t="shared" si="23"/>
        <v/>
      </c>
      <c r="Q44" s="3" t="str">
        <f t="shared" si="23"/>
        <v/>
      </c>
      <c r="R44" s="3" t="str">
        <f t="shared" si="23"/>
        <v/>
      </c>
      <c r="S44" s="3" t="str">
        <f t="shared" si="23"/>
        <v/>
      </c>
      <c r="T44" s="3" t="str">
        <f t="shared" si="23"/>
        <v/>
      </c>
      <c r="U44" s="112" t="str">
        <f t="shared" si="23"/>
        <v/>
      </c>
    </row>
    <row r="45">
      <c r="A45" s="42"/>
      <c r="B45" s="49"/>
      <c r="C45" s="146">
        <f t="shared" si="4"/>
        <v>3</v>
      </c>
      <c r="D45" s="3" t="str">
        <f t="shared" ref="D45:I45" si="24">if($C16&gt;$C$32,D16,"")</f>
        <v>RL.5.6</v>
      </c>
      <c r="E45" s="109" t="str">
        <f t="shared" si="24"/>
        <v>Describe how a narrator’s or speaker’s point of view influences how events are described.</v>
      </c>
      <c r="F45" s="110" t="b">
        <f t="shared" si="24"/>
        <v>1</v>
      </c>
      <c r="G45" s="110" t="b">
        <f t="shared" si="24"/>
        <v>1</v>
      </c>
      <c r="H45" s="110" t="b">
        <f t="shared" si="24"/>
        <v>1</v>
      </c>
      <c r="I45" s="110" t="b">
        <f t="shared" si="24"/>
        <v>0</v>
      </c>
      <c r="J45" s="3"/>
      <c r="K45" s="109" t="str">
        <f t="shared" si="6"/>
        <v>R- need to know because 6th expects students to explain how POV was developed; E- as text becomes more complex, students will be expected to analyze and compare and contrast POV; A- we can assume; L- not used in other subjects due to being fiction</v>
      </c>
      <c r="L45" s="111" t="b">
        <v>0</v>
      </c>
      <c r="M45" s="3" t="str">
        <f t="shared" ref="M45:U45" si="25">if($L45=TRUE,C45,"")</f>
        <v/>
      </c>
      <c r="N45" s="3" t="str">
        <f t="shared" si="25"/>
        <v/>
      </c>
      <c r="O45" s="3" t="str">
        <f t="shared" si="25"/>
        <v/>
      </c>
      <c r="P45" s="3" t="str">
        <f t="shared" si="25"/>
        <v/>
      </c>
      <c r="Q45" s="3" t="str">
        <f t="shared" si="25"/>
        <v/>
      </c>
      <c r="R45" s="3" t="str">
        <f t="shared" si="25"/>
        <v/>
      </c>
      <c r="S45" s="3" t="str">
        <f t="shared" si="25"/>
        <v/>
      </c>
      <c r="T45" s="3" t="str">
        <f t="shared" si="25"/>
        <v/>
      </c>
      <c r="U45" s="112" t="str">
        <f t="shared" si="25"/>
        <v/>
      </c>
    </row>
    <row r="46">
      <c r="A46" s="42"/>
      <c r="B46" s="135" t="s">
        <v>141</v>
      </c>
      <c r="C46" s="146">
        <f t="shared" si="4"/>
        <v>1</v>
      </c>
      <c r="D46" s="3" t="str">
        <f t="shared" ref="D46:I46" si="26">if($C17&gt;$C$32,D17,"")</f>
        <v>RL.5.7</v>
      </c>
      <c r="E46" s="109" t="str">
        <f t="shared" si="26"/>
        <v>Analyze how visual and multimedia elements contribute to the meaning, tone, or beauty of a text (e.g., graphic novel, multimedia presentation of fiction, folktale, myth, poem).</v>
      </c>
      <c r="F46" s="110" t="b">
        <f t="shared" si="26"/>
        <v>1</v>
      </c>
      <c r="G46" s="110" t="b">
        <f t="shared" si="26"/>
        <v>0</v>
      </c>
      <c r="H46" s="110" t="b">
        <f t="shared" si="26"/>
        <v>0</v>
      </c>
      <c r="I46" s="110" t="b">
        <f t="shared" si="26"/>
        <v>0</v>
      </c>
      <c r="J46" s="3"/>
      <c r="K46" s="109" t="str">
        <f t="shared" si="6"/>
        <v>R- students need in order to compare a text to a more visual form of text; E- not much endurance because the only change is the type of visual; A- not assessed because there are no videos on the assessment; L- not used in other subjects due to fiction  </v>
      </c>
      <c r="L46" s="111" t="b">
        <v>0</v>
      </c>
      <c r="M46" s="3" t="str">
        <f t="shared" ref="M46:U46" si="27">if($L46=TRUE,C46,"")</f>
        <v/>
      </c>
      <c r="N46" s="3" t="str">
        <f t="shared" si="27"/>
        <v/>
      </c>
      <c r="O46" s="3" t="str">
        <f t="shared" si="27"/>
        <v/>
      </c>
      <c r="P46" s="3" t="str">
        <f t="shared" si="27"/>
        <v/>
      </c>
      <c r="Q46" s="3" t="str">
        <f t="shared" si="27"/>
        <v/>
      </c>
      <c r="R46" s="3" t="str">
        <f t="shared" si="27"/>
        <v/>
      </c>
      <c r="S46" s="3" t="str">
        <f t="shared" si="27"/>
        <v/>
      </c>
      <c r="T46" s="3" t="str">
        <f t="shared" si="27"/>
        <v/>
      </c>
      <c r="U46" s="112" t="str">
        <f t="shared" si="27"/>
        <v/>
      </c>
    </row>
    <row r="47">
      <c r="A47" s="42"/>
      <c r="B47" s="49"/>
      <c r="C47" s="146">
        <f t="shared" si="4"/>
        <v>3</v>
      </c>
      <c r="D47" s="3" t="str">
        <f t="shared" ref="D47:I47" si="28">if($C18&gt;$C$32,D18,"")</f>
        <v>RL.5.9</v>
      </c>
      <c r="E47" s="109" t="str">
        <f t="shared" si="28"/>
        <v>Compare and contrast stories in the same genre (e.g., mysteries and adventure stories) on their approaches to similar themes and topics.</v>
      </c>
      <c r="F47" s="110" t="b">
        <f t="shared" si="28"/>
        <v>1</v>
      </c>
      <c r="G47" s="110" t="b">
        <f t="shared" si="28"/>
        <v>1</v>
      </c>
      <c r="H47" s="110" t="b">
        <f t="shared" si="28"/>
        <v>1</v>
      </c>
      <c r="I47" s="110" t="b">
        <f t="shared" si="28"/>
        <v>0</v>
      </c>
      <c r="J47" s="3"/>
      <c r="K47" s="109" t="str">
        <f t="shared" si="6"/>
        <v>R- need this in order to compare different genres in 6th; E- as texts become more complex, students are expected analyze how the author addresses theme; A- we can assume; L- not used in other subjects due to being fiction</v>
      </c>
      <c r="L47" s="111" t="b">
        <v>0</v>
      </c>
      <c r="M47" s="3" t="str">
        <f t="shared" ref="M47:U47" si="29">if($L47=TRUE,C47,"")</f>
        <v/>
      </c>
      <c r="N47" s="3" t="str">
        <f t="shared" si="29"/>
        <v/>
      </c>
      <c r="O47" s="3" t="str">
        <f t="shared" si="29"/>
        <v/>
      </c>
      <c r="P47" s="3" t="str">
        <f t="shared" si="29"/>
        <v/>
      </c>
      <c r="Q47" s="3" t="str">
        <f t="shared" si="29"/>
        <v/>
      </c>
      <c r="R47" s="3" t="str">
        <f t="shared" si="29"/>
        <v/>
      </c>
      <c r="S47" s="3" t="str">
        <f t="shared" si="29"/>
        <v/>
      </c>
      <c r="T47" s="3" t="str">
        <f t="shared" si="29"/>
        <v/>
      </c>
      <c r="U47" s="112" t="str">
        <f t="shared" si="29"/>
        <v/>
      </c>
    </row>
    <row r="48">
      <c r="A48" s="49"/>
      <c r="B48" s="136" t="s">
        <v>156</v>
      </c>
      <c r="C48" s="146">
        <f t="shared" si="4"/>
        <v>3</v>
      </c>
      <c r="D48" s="3" t="str">
        <f t="shared" ref="D48:I48" si="30">if($C19&gt;$C$32,D19,"")</f>
        <v>RL.5.10</v>
      </c>
      <c r="E48" s="109" t="str">
        <f t="shared" si="30"/>
        <v>By the end of the year, read and comprehend literature, including stories, dramas, and poetry, at the high end of the grades 4–5 text complexity band independently and proficiently.</v>
      </c>
      <c r="F48" s="110" t="b">
        <f t="shared" si="30"/>
        <v>1</v>
      </c>
      <c r="G48" s="110" t="b">
        <f t="shared" si="30"/>
        <v>1</v>
      </c>
      <c r="H48" s="110" t="b">
        <f t="shared" si="30"/>
        <v>1</v>
      </c>
      <c r="I48" s="110" t="b">
        <f t="shared" si="30"/>
        <v>0</v>
      </c>
      <c r="J48" s="3"/>
      <c r="K48" s="109" t="str">
        <f t="shared" si="6"/>
        <v>R- Need to do because text will become more complex; E- if not proficient, text will become more complex as the years progress; A- are provided grade level text; L- not used in other subjects</v>
      </c>
      <c r="L48" s="113" t="b">
        <v>0</v>
      </c>
      <c r="M48" s="3" t="str">
        <f t="shared" ref="M48:U48" si="31">if($L48=TRUE,C48,"")</f>
        <v/>
      </c>
      <c r="N48" s="3" t="str">
        <f t="shared" si="31"/>
        <v/>
      </c>
      <c r="O48" s="3" t="str">
        <f t="shared" si="31"/>
        <v/>
      </c>
      <c r="P48" s="3" t="str">
        <f t="shared" si="31"/>
        <v/>
      </c>
      <c r="Q48" s="3" t="str">
        <f t="shared" si="31"/>
        <v/>
      </c>
      <c r="R48" s="3" t="str">
        <f t="shared" si="31"/>
        <v/>
      </c>
      <c r="S48" s="3" t="str">
        <f t="shared" si="31"/>
        <v/>
      </c>
      <c r="T48" s="3" t="str">
        <f t="shared" si="31"/>
        <v/>
      </c>
      <c r="U48" s="112" t="str">
        <f t="shared" si="31"/>
        <v/>
      </c>
    </row>
    <row r="49">
      <c r="A49" s="81" t="s">
        <v>183</v>
      </c>
      <c r="B49" s="137" t="s">
        <v>107</v>
      </c>
      <c r="C49" s="146">
        <f t="shared" si="4"/>
        <v>4</v>
      </c>
      <c r="D49" s="3" t="str">
        <f t="shared" ref="D49:I49" si="32">if($C20&gt;$C$32,D20,"")</f>
        <v>RI.5.1</v>
      </c>
      <c r="E49" s="109" t="str">
        <f t="shared" si="32"/>
        <v>Quote accurately from a text when explaining what the text says explicitly and when drawing inferences from the text.</v>
      </c>
      <c r="F49" s="110" t="b">
        <f t="shared" si="32"/>
        <v>1</v>
      </c>
      <c r="G49" s="110" t="b">
        <f t="shared" si="32"/>
        <v>1</v>
      </c>
      <c r="H49" s="110" t="b">
        <f t="shared" si="32"/>
        <v>1</v>
      </c>
      <c r="I49" s="110" t="b">
        <f t="shared" si="32"/>
        <v>1</v>
      </c>
      <c r="J49" s="3"/>
      <c r="K49" s="109" t="str">
        <f t="shared" si="6"/>
        <v>R- 6th is required to cite the texts; E- as texts become more complex, students are expected to cite multiple texts in their analysis; A- we can assume; L- can use in all subjects  </v>
      </c>
      <c r="L49" s="111" t="b">
        <v>1</v>
      </c>
      <c r="M49" s="3">
        <f t="shared" ref="M49:U49" si="33">if($L49=TRUE,C49,"")</f>
        <v>4</v>
      </c>
      <c r="N49" s="3" t="str">
        <f t="shared" si="33"/>
        <v>RI.5.1</v>
      </c>
      <c r="O49" s="3" t="str">
        <f t="shared" si="33"/>
        <v>Quote accurately from a text when explaining what the text says explicitly and when drawing inferences from the text.</v>
      </c>
      <c r="P49" s="3" t="b">
        <f t="shared" si="33"/>
        <v>1</v>
      </c>
      <c r="Q49" s="3" t="b">
        <f t="shared" si="33"/>
        <v>1</v>
      </c>
      <c r="R49" s="3" t="b">
        <f t="shared" si="33"/>
        <v>1</v>
      </c>
      <c r="S49" s="3" t="b">
        <f t="shared" si="33"/>
        <v>1</v>
      </c>
      <c r="T49" s="3" t="str">
        <f t="shared" si="33"/>
        <v/>
      </c>
      <c r="U49" s="112" t="str">
        <f t="shared" si="33"/>
        <v>R- 6th is required to cite the texts; E- as texts become more complex, students are expected to cite multiple texts in their analysis; A- we can assume; L- can use in all subjects  </v>
      </c>
    </row>
    <row r="50">
      <c r="A50" s="42"/>
      <c r="B50" s="42"/>
      <c r="C50" s="146">
        <f t="shared" si="4"/>
        <v>4</v>
      </c>
      <c r="D50" s="3" t="str">
        <f t="shared" ref="D50:I50" si="34">if($C21&gt;$C$32,D21,"")</f>
        <v>RI.5.2</v>
      </c>
      <c r="E50" s="109" t="str">
        <f t="shared" si="34"/>
        <v>Determine two or more main ideas of a text and explain how they are supported by key details; summarize the text.</v>
      </c>
      <c r="F50" s="110" t="b">
        <f t="shared" si="34"/>
        <v>1</v>
      </c>
      <c r="G50" s="110" t="b">
        <f t="shared" si="34"/>
        <v>1</v>
      </c>
      <c r="H50" s="110" t="b">
        <f t="shared" si="34"/>
        <v>1</v>
      </c>
      <c r="I50" s="110" t="b">
        <f t="shared" si="34"/>
        <v>1</v>
      </c>
      <c r="J50" s="3"/>
      <c r="K50" s="109" t="str">
        <f t="shared" si="6"/>
        <v>R- need this in order to determine central idea; E- as texts become more complex, students will be expected to analyze and explain how ideas were developed and summarize without judgment; A- we can assume; L- can be used in other subjects</v>
      </c>
      <c r="L50" s="111" t="b">
        <v>1</v>
      </c>
      <c r="M50" s="3">
        <f t="shared" ref="M50:U50" si="35">if($L50=TRUE,C50,"")</f>
        <v>4</v>
      </c>
      <c r="N50" s="3" t="str">
        <f t="shared" si="35"/>
        <v>RI.5.2</v>
      </c>
      <c r="O50" s="3" t="str">
        <f t="shared" si="35"/>
        <v>Determine two or more main ideas of a text and explain how they are supported by key details; summarize the text.</v>
      </c>
      <c r="P50" s="3" t="b">
        <f t="shared" si="35"/>
        <v>1</v>
      </c>
      <c r="Q50" s="3" t="b">
        <f t="shared" si="35"/>
        <v>1</v>
      </c>
      <c r="R50" s="3" t="b">
        <f t="shared" si="35"/>
        <v>1</v>
      </c>
      <c r="S50" s="3" t="b">
        <f t="shared" si="35"/>
        <v>1</v>
      </c>
      <c r="T50" s="3" t="str">
        <f t="shared" si="35"/>
        <v/>
      </c>
      <c r="U50" s="112" t="str">
        <f t="shared" si="35"/>
        <v>R- need this in order to determine central idea; E- as texts become more complex, students will be expected to analyze and explain how ideas were developed and summarize without judgment; A- we can assume; L- can be used in other subjects</v>
      </c>
    </row>
    <row r="51">
      <c r="A51" s="42"/>
      <c r="B51" s="49"/>
      <c r="C51" s="146">
        <f t="shared" si="4"/>
        <v>4</v>
      </c>
      <c r="D51" s="3" t="str">
        <f t="shared" ref="D51:I51" si="36">if($C22&gt;$C$32,D22,"")</f>
        <v>RI.5.3</v>
      </c>
      <c r="E51" s="109" t="str">
        <f t="shared" si="36"/>
        <v>Explain the relationships or interactions between two or more individuals, events, ideas, or concepts in a historical, scientific, or technical text based on specific information in the text.</v>
      </c>
      <c r="F51" s="110" t="b">
        <f t="shared" si="36"/>
        <v>1</v>
      </c>
      <c r="G51" s="110" t="b">
        <f t="shared" si="36"/>
        <v>1</v>
      </c>
      <c r="H51" s="110" t="b">
        <f t="shared" si="36"/>
        <v>1</v>
      </c>
      <c r="I51" s="110" t="b">
        <f t="shared" si="36"/>
        <v>1</v>
      </c>
      <c r="J51" s="3"/>
      <c r="K51" s="109" t="str">
        <f t="shared" si="6"/>
        <v>R- 6th grade expects students to analyze how people and events are introduced; E- students will be expected to apply skill to more complex texts; A- we can assume; L- can be used in other subjects</v>
      </c>
      <c r="L51" s="111" t="b">
        <v>1</v>
      </c>
      <c r="M51" s="3">
        <f t="shared" ref="M51:U51" si="37">if($L51=TRUE,C51,"")</f>
        <v>4</v>
      </c>
      <c r="N51" s="3" t="str">
        <f t="shared" si="37"/>
        <v>RI.5.3</v>
      </c>
      <c r="O51" s="3" t="str">
        <f t="shared" si="37"/>
        <v>Explain the relationships or interactions between two or more individuals, events, ideas, or concepts in a historical, scientific, or technical text based on specific information in the text.</v>
      </c>
      <c r="P51" s="3" t="b">
        <f t="shared" si="37"/>
        <v>1</v>
      </c>
      <c r="Q51" s="3" t="b">
        <f t="shared" si="37"/>
        <v>1</v>
      </c>
      <c r="R51" s="3" t="b">
        <f t="shared" si="37"/>
        <v>1</v>
      </c>
      <c r="S51" s="3" t="b">
        <f t="shared" si="37"/>
        <v>1</v>
      </c>
      <c r="T51" s="3" t="str">
        <f t="shared" si="37"/>
        <v/>
      </c>
      <c r="U51" s="112" t="str">
        <f t="shared" si="37"/>
        <v>R- 6th grade expects students to analyze how people and events are introduced; E- students will be expected to apply skill to more complex texts; A- we can assume; L- can be used in other subjects</v>
      </c>
    </row>
    <row r="52">
      <c r="A52" s="42"/>
      <c r="B52" s="139" t="s">
        <v>123</v>
      </c>
      <c r="C52" s="146">
        <f t="shared" si="4"/>
        <v>4</v>
      </c>
      <c r="D52" s="3" t="str">
        <f t="shared" ref="D52:I52" si="38">if($C23&gt;$C$32,D23,"")</f>
        <v>RI.5.4</v>
      </c>
      <c r="E52" s="109" t="str">
        <f t="shared" si="38"/>
        <v>Determine the meaning of general academic and domain-specific words and phrases in a text relevant to a grade 5 topic or subject area.</v>
      </c>
      <c r="F52" s="110" t="b">
        <f t="shared" si="38"/>
        <v>1</v>
      </c>
      <c r="G52" s="110" t="b">
        <f t="shared" si="38"/>
        <v>1</v>
      </c>
      <c r="H52" s="110" t="b">
        <f t="shared" si="38"/>
        <v>1</v>
      </c>
      <c r="I52" s="110" t="b">
        <f t="shared" si="38"/>
        <v>1</v>
      </c>
      <c r="J52" s="3"/>
      <c r="K52" s="109" t="str">
        <f t="shared" si="6"/>
        <v>R- 6th grade expects students to understand how figurative and connotative language are used in informational text; E- as texts become more complex, students will have to analyze the impact of language in a text; A- we can assume; L- can be used in other subjects</v>
      </c>
      <c r="L52" s="111" t="b">
        <v>1</v>
      </c>
      <c r="M52" s="3">
        <f t="shared" ref="M52:U52" si="39">if($L52=TRUE,C52,"")</f>
        <v>4</v>
      </c>
      <c r="N52" s="3" t="str">
        <f t="shared" si="39"/>
        <v>RI.5.4</v>
      </c>
      <c r="O52" s="3" t="str">
        <f t="shared" si="39"/>
        <v>Determine the meaning of general academic and domain-specific words and phrases in a text relevant to a grade 5 topic or subject area.</v>
      </c>
      <c r="P52" s="3" t="b">
        <f t="shared" si="39"/>
        <v>1</v>
      </c>
      <c r="Q52" s="3" t="b">
        <f t="shared" si="39"/>
        <v>1</v>
      </c>
      <c r="R52" s="3" t="b">
        <f t="shared" si="39"/>
        <v>1</v>
      </c>
      <c r="S52" s="3" t="b">
        <f t="shared" si="39"/>
        <v>1</v>
      </c>
      <c r="T52" s="3" t="str">
        <f t="shared" si="39"/>
        <v/>
      </c>
      <c r="U52" s="112" t="str">
        <f t="shared" si="39"/>
        <v>R- 6th grade expects students to understand how figurative and connotative language are used in informational text; E- as texts become more complex, students will have to analyze the impact of language in a text; A- we can assume; L- can be used in other subjects</v>
      </c>
    </row>
    <row r="53">
      <c r="A53" s="42"/>
      <c r="B53" s="42"/>
      <c r="C53" s="146">
        <f t="shared" si="4"/>
        <v>4</v>
      </c>
      <c r="D53" s="3" t="str">
        <f t="shared" ref="D53:I53" si="40">if($C24&gt;$C$32,D24,"")</f>
        <v>RI.5.5</v>
      </c>
      <c r="E53" s="109" t="str">
        <f t="shared" si="40"/>
        <v>Compare and contrast the overall structure (e.g., chronology, comparison, cause/effect, problem/ solution) of events, ideas, concepts, or information in two or more texts</v>
      </c>
      <c r="F53" s="110" t="b">
        <f t="shared" si="40"/>
        <v>1</v>
      </c>
      <c r="G53" s="110" t="b">
        <f t="shared" si="40"/>
        <v>1</v>
      </c>
      <c r="H53" s="110" t="b">
        <f t="shared" si="40"/>
        <v>1</v>
      </c>
      <c r="I53" s="110" t="b">
        <f t="shared" si="40"/>
        <v>1</v>
      </c>
      <c r="J53" s="3"/>
      <c r="K53" s="109" t="str">
        <f t="shared" si="6"/>
        <v>R- 6th grade expects students to analyze text structure and how it was developed; E- students have to apply the skill to more complex texts; A- we can assume; L- used in other subjects</v>
      </c>
      <c r="L53" s="113" t="b">
        <v>0</v>
      </c>
      <c r="M53" s="3" t="str">
        <f t="shared" ref="M53:U53" si="41">if($L53=TRUE,C53,"")</f>
        <v/>
      </c>
      <c r="N53" s="3" t="str">
        <f t="shared" si="41"/>
        <v/>
      </c>
      <c r="O53" s="3" t="str">
        <f t="shared" si="41"/>
        <v/>
      </c>
      <c r="P53" s="3" t="str">
        <f t="shared" si="41"/>
        <v/>
      </c>
      <c r="Q53" s="3" t="str">
        <f t="shared" si="41"/>
        <v/>
      </c>
      <c r="R53" s="3" t="str">
        <f t="shared" si="41"/>
        <v/>
      </c>
      <c r="S53" s="3" t="str">
        <f t="shared" si="41"/>
        <v/>
      </c>
      <c r="T53" s="3" t="str">
        <f t="shared" si="41"/>
        <v/>
      </c>
      <c r="U53" s="112" t="str">
        <f t="shared" si="41"/>
        <v/>
      </c>
    </row>
    <row r="54">
      <c r="A54" s="42"/>
      <c r="B54" s="49"/>
      <c r="C54" s="146">
        <f t="shared" si="4"/>
        <v>4</v>
      </c>
      <c r="D54" s="3" t="str">
        <f t="shared" ref="D54:I54" si="42">if($C25&gt;$C$32,D25,"")</f>
        <v>RI.5.6</v>
      </c>
      <c r="E54" s="109" t="str">
        <f t="shared" si="42"/>
        <v>Analyze multiple accounts of the same event or topic, noting important similarities and differences in the point of view they represent.</v>
      </c>
      <c r="F54" s="110" t="b">
        <f t="shared" si="42"/>
        <v>1</v>
      </c>
      <c r="G54" s="110" t="b">
        <f t="shared" si="42"/>
        <v>1</v>
      </c>
      <c r="H54" s="110" t="b">
        <f t="shared" si="42"/>
        <v>1</v>
      </c>
      <c r="I54" s="110" t="b">
        <f t="shared" si="42"/>
        <v>1</v>
      </c>
      <c r="J54" s="3"/>
      <c r="K54" s="109" t="str">
        <f t="shared" si="6"/>
        <v>R- 6th grade expects to explain how POV is shown in text; E- students will have to explain how author's distinguish their POV from others in more complex text; A- we can assume; L- can be used in other subjects</v>
      </c>
      <c r="L54" s="113" t="b">
        <v>0</v>
      </c>
      <c r="M54" s="3" t="str">
        <f t="shared" ref="M54:U54" si="43">if($L54=TRUE,C54,"")</f>
        <v/>
      </c>
      <c r="N54" s="3" t="str">
        <f t="shared" si="43"/>
        <v/>
      </c>
      <c r="O54" s="3" t="str">
        <f t="shared" si="43"/>
        <v/>
      </c>
      <c r="P54" s="3" t="str">
        <f t="shared" si="43"/>
        <v/>
      </c>
      <c r="Q54" s="3" t="str">
        <f t="shared" si="43"/>
        <v/>
      </c>
      <c r="R54" s="3" t="str">
        <f t="shared" si="43"/>
        <v/>
      </c>
      <c r="S54" s="3" t="str">
        <f t="shared" si="43"/>
        <v/>
      </c>
      <c r="T54" s="3" t="str">
        <f t="shared" si="43"/>
        <v/>
      </c>
      <c r="U54" s="112" t="str">
        <f t="shared" si="43"/>
        <v/>
      </c>
    </row>
    <row r="55">
      <c r="A55" s="42"/>
      <c r="B55" s="141" t="s">
        <v>141</v>
      </c>
      <c r="C55" s="146">
        <f t="shared" si="4"/>
        <v>4</v>
      </c>
      <c r="D55" s="3" t="str">
        <f t="shared" ref="D55:I55" si="44">if($C26&gt;$C$32,D26,"")</f>
        <v>RI.5.7</v>
      </c>
      <c r="E55" s="109" t="str">
        <f t="shared" si="44"/>
        <v>Draw on information from multiple print or digital sources, demonstrating the ability to locate an answer to a question quickly or to solve a problem efficiently.</v>
      </c>
      <c r="F55" s="110" t="b">
        <f t="shared" si="44"/>
        <v>1</v>
      </c>
      <c r="G55" s="110" t="b">
        <f t="shared" si="44"/>
        <v>1</v>
      </c>
      <c r="H55" s="110" t="b">
        <f t="shared" si="44"/>
        <v>1</v>
      </c>
      <c r="I55" s="110" t="b">
        <f t="shared" si="44"/>
        <v>1</v>
      </c>
      <c r="J55" s="3"/>
      <c r="K55" s="109" t="str">
        <f t="shared" si="6"/>
        <v>R- 6th grade has to integrate information from other sources; E- students can use various formats to understand text; A- we can assume; L- can be used in other subjects</v>
      </c>
      <c r="L55" s="111" t="b">
        <v>0</v>
      </c>
      <c r="M55" s="3" t="str">
        <f t="shared" ref="M55:U55" si="45">if($L55=TRUE,C55,"")</f>
        <v/>
      </c>
      <c r="N55" s="3" t="str">
        <f t="shared" si="45"/>
        <v/>
      </c>
      <c r="O55" s="3" t="str">
        <f t="shared" si="45"/>
        <v/>
      </c>
      <c r="P55" s="3" t="str">
        <f t="shared" si="45"/>
        <v/>
      </c>
      <c r="Q55" s="3" t="str">
        <f t="shared" si="45"/>
        <v/>
      </c>
      <c r="R55" s="3" t="str">
        <f t="shared" si="45"/>
        <v/>
      </c>
      <c r="S55" s="3" t="str">
        <f t="shared" si="45"/>
        <v/>
      </c>
      <c r="T55" s="3" t="str">
        <f t="shared" si="45"/>
        <v/>
      </c>
      <c r="U55" s="112" t="str">
        <f t="shared" si="45"/>
        <v/>
      </c>
    </row>
    <row r="56">
      <c r="A56" s="42"/>
      <c r="B56" s="42"/>
      <c r="C56" s="146">
        <f t="shared" si="4"/>
        <v>4</v>
      </c>
      <c r="D56" s="3" t="str">
        <f t="shared" ref="D56:I56" si="46">if($C27&gt;$C$32,D27,"")</f>
        <v>RI.5.8</v>
      </c>
      <c r="E56" s="109" t="str">
        <f t="shared" si="46"/>
        <v>Explain how an author uses reasons and evidence to support particular points in a text, identifying which reasons and evidence support which point(s).</v>
      </c>
      <c r="F56" s="110" t="b">
        <f t="shared" si="46"/>
        <v>1</v>
      </c>
      <c r="G56" s="110" t="b">
        <f t="shared" si="46"/>
        <v>1</v>
      </c>
      <c r="H56" s="110" t="b">
        <f t="shared" si="46"/>
        <v>1</v>
      </c>
      <c r="I56" s="110" t="b">
        <f t="shared" si="46"/>
        <v>1</v>
      </c>
      <c r="J56" s="3"/>
      <c r="K56" s="109" t="str">
        <f t="shared" si="6"/>
        <v>R- 6th grade expects students to trace and evaluate an argument; E- this skill is a main component of the ACT; A- we can assume; L- can be used in other subjects</v>
      </c>
      <c r="L56" s="113" t="b">
        <v>0</v>
      </c>
      <c r="M56" s="3" t="str">
        <f t="shared" ref="M56:U56" si="47">if($L56=TRUE,C56,"")</f>
        <v/>
      </c>
      <c r="N56" s="3" t="str">
        <f t="shared" si="47"/>
        <v/>
      </c>
      <c r="O56" s="3" t="str">
        <f t="shared" si="47"/>
        <v/>
      </c>
      <c r="P56" s="3" t="str">
        <f t="shared" si="47"/>
        <v/>
      </c>
      <c r="Q56" s="3" t="str">
        <f t="shared" si="47"/>
        <v/>
      </c>
      <c r="R56" s="3" t="str">
        <f t="shared" si="47"/>
        <v/>
      </c>
      <c r="S56" s="3" t="str">
        <f t="shared" si="47"/>
        <v/>
      </c>
      <c r="T56" s="3" t="str">
        <f t="shared" si="47"/>
        <v/>
      </c>
      <c r="U56" s="112" t="str">
        <f t="shared" si="47"/>
        <v/>
      </c>
    </row>
    <row r="57">
      <c r="A57" s="42"/>
      <c r="B57" s="49"/>
      <c r="C57" s="146">
        <f t="shared" si="4"/>
        <v>4</v>
      </c>
      <c r="D57" s="3" t="str">
        <f t="shared" ref="D57:I57" si="48">if($C28&gt;$C$32,D28,"")</f>
        <v>RI.5.9</v>
      </c>
      <c r="E57" s="109" t="str">
        <f t="shared" si="48"/>
        <v>Integrate information from several texts on the same topic in order to write or speak about the subject knowledgeably.</v>
      </c>
      <c r="F57" s="110" t="b">
        <f t="shared" si="48"/>
        <v>1</v>
      </c>
      <c r="G57" s="110" t="b">
        <f t="shared" si="48"/>
        <v>1</v>
      </c>
      <c r="H57" s="110" t="b">
        <f t="shared" si="48"/>
        <v>1</v>
      </c>
      <c r="I57" s="110" t="b">
        <f t="shared" si="48"/>
        <v>1</v>
      </c>
      <c r="J57" s="3"/>
      <c r="K57" s="109" t="str">
        <f t="shared" si="6"/>
        <v>R- needed in order to do any type of research writing; E- when applied to writing; A- we can assume; L- can be used in other subjects</v>
      </c>
      <c r="L57" s="113" t="b">
        <v>0</v>
      </c>
      <c r="M57" s="3" t="str">
        <f t="shared" ref="M57:U57" si="49">if($L57=TRUE,C57,"")</f>
        <v/>
      </c>
      <c r="N57" s="3" t="str">
        <f t="shared" si="49"/>
        <v/>
      </c>
      <c r="O57" s="3" t="str">
        <f t="shared" si="49"/>
        <v/>
      </c>
      <c r="P57" s="3" t="str">
        <f t="shared" si="49"/>
        <v/>
      </c>
      <c r="Q57" s="3" t="str">
        <f t="shared" si="49"/>
        <v/>
      </c>
      <c r="R57" s="3" t="str">
        <f t="shared" si="49"/>
        <v/>
      </c>
      <c r="S57" s="3" t="str">
        <f t="shared" si="49"/>
        <v/>
      </c>
      <c r="T57" s="3" t="str">
        <f t="shared" si="49"/>
        <v/>
      </c>
      <c r="U57" s="112" t="str">
        <f t="shared" si="49"/>
        <v/>
      </c>
    </row>
    <row r="58">
      <c r="A58" s="49"/>
      <c r="B58" s="143" t="s">
        <v>156</v>
      </c>
      <c r="C58" s="146">
        <f t="shared" si="4"/>
        <v>4</v>
      </c>
      <c r="D58" s="3" t="str">
        <f t="shared" ref="D58:I58" si="50">if($C29&gt;$C$32,D29,"")</f>
        <v>RI.5.10</v>
      </c>
      <c r="E58" s="109" t="str">
        <f t="shared" si="50"/>
        <v>By the end of the year, read and comprehend informational texts, including history/social studies, science, and technical texts, at the high end of the grades 4–5 text complexity band independently and proficiently.</v>
      </c>
      <c r="F58" s="110" t="b">
        <f t="shared" si="50"/>
        <v>1</v>
      </c>
      <c r="G58" s="110" t="b">
        <f t="shared" si="50"/>
        <v>1</v>
      </c>
      <c r="H58" s="110" t="b">
        <f t="shared" si="50"/>
        <v>1</v>
      </c>
      <c r="I58" s="110" t="b">
        <f t="shared" si="50"/>
        <v>1</v>
      </c>
      <c r="J58" s="3"/>
      <c r="K58" s="109" t="str">
        <f t="shared" si="6"/>
        <v>R- need to be proficient in order to comprehend more complex text; E- need to be proficient in order to comprehend more complex text; A- it is assessed; L- can be applied to other subjects </v>
      </c>
      <c r="L58" s="111" t="b">
        <v>0</v>
      </c>
      <c r="M58" s="3" t="str">
        <f t="shared" ref="M58:U58" si="51">if($L58=TRUE,C58,"")</f>
        <v/>
      </c>
      <c r="N58" s="3" t="str">
        <f t="shared" si="51"/>
        <v/>
      </c>
      <c r="O58" s="3" t="str">
        <f t="shared" si="51"/>
        <v/>
      </c>
      <c r="P58" s="3" t="str">
        <f t="shared" si="51"/>
        <v/>
      </c>
      <c r="Q58" s="3" t="str">
        <f t="shared" si="51"/>
        <v/>
      </c>
      <c r="R58" s="3" t="str">
        <f t="shared" si="51"/>
        <v/>
      </c>
      <c r="S58" s="3" t="str">
        <f t="shared" si="51"/>
        <v/>
      </c>
      <c r="T58" s="3" t="str">
        <f t="shared" si="51"/>
        <v/>
      </c>
      <c r="U58" s="112" t="str">
        <f t="shared" si="51"/>
        <v/>
      </c>
    </row>
  </sheetData>
  <mergeCells count="30">
    <mergeCell ref="A2:B2"/>
    <mergeCell ref="C2:K2"/>
    <mergeCell ref="A3:K3"/>
    <mergeCell ref="A4:B4"/>
    <mergeCell ref="B5:B6"/>
    <mergeCell ref="B7:B10"/>
    <mergeCell ref="B11:B13"/>
    <mergeCell ref="B26:B28"/>
    <mergeCell ref="A31:B31"/>
    <mergeCell ref="F31:G31"/>
    <mergeCell ref="A5:A10"/>
    <mergeCell ref="A13:A19"/>
    <mergeCell ref="B14:B16"/>
    <mergeCell ref="B17:B18"/>
    <mergeCell ref="A20:A29"/>
    <mergeCell ref="B20:B22"/>
    <mergeCell ref="B23:B25"/>
    <mergeCell ref="B43:B45"/>
    <mergeCell ref="B46:B47"/>
    <mergeCell ref="B40:B42"/>
    <mergeCell ref="B49:B51"/>
    <mergeCell ref="B52:B54"/>
    <mergeCell ref="B55:B57"/>
    <mergeCell ref="A32:B32"/>
    <mergeCell ref="A33:B33"/>
    <mergeCell ref="A34:A39"/>
    <mergeCell ref="B34:B35"/>
    <mergeCell ref="B36:B39"/>
    <mergeCell ref="A42:A48"/>
    <mergeCell ref="A49:A58"/>
  </mergeCells>
  <conditionalFormatting sqref="F34:I58">
    <cfRule type="cellIs" dxfId="0" priority="1" operator="equal">
      <formula>"TRUE"</formula>
    </cfRule>
  </conditionalFormatting>
  <conditionalFormatting sqref="F34:I58">
    <cfRule type="cellIs" dxfId="1" priority="2" operator="equal">
      <formula>"FALSE"</formula>
    </cfRule>
  </conditionalFormatting>
  <conditionalFormatting sqref="D31">
    <cfRule type="expression" dxfId="2" priority="3">
      <formula>D31&gt;K31</formula>
    </cfRule>
  </conditionalFormatting>
  <conditionalFormatting sqref="D31">
    <cfRule type="expression" dxfId="3" priority="4">
      <formula>D31&lt;=K31</formula>
    </cfRule>
  </conditionalFormatting>
  <conditionalFormatting sqref="C5:C30 C32 C34:C58">
    <cfRule type="cellIs" dxfId="4" priority="5" operator="equal">
      <formula>0</formula>
    </cfRule>
  </conditionalFormatting>
  <conditionalFormatting sqref="C5:C30 C32 C34:C58">
    <cfRule type="cellIs" dxfId="5" priority="6" operator="equal">
      <formula>1</formula>
    </cfRule>
  </conditionalFormatting>
  <conditionalFormatting sqref="C5:C30 C32 C34:C58">
    <cfRule type="cellIs" dxfId="6" priority="7" operator="equal">
      <formula>2</formula>
    </cfRule>
  </conditionalFormatting>
  <conditionalFormatting sqref="C5:C30 C32 C34:C58">
    <cfRule type="cellIs" dxfId="7" priority="8" operator="equal">
      <formula>3</formula>
    </cfRule>
  </conditionalFormatting>
  <conditionalFormatting sqref="C5:C30 C32 C34:C58">
    <cfRule type="cellIs" dxfId="8" priority="9" operator="equal">
      <formula>4</formula>
    </cfRule>
  </conditionalFormatting>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27BA0"/>
    <outlinePr summaryBelow="0" summaryRight="0"/>
  </sheetPr>
  <sheetViews>
    <sheetView workbookViewId="0"/>
  </sheetViews>
  <sheetFormatPr customHeight="1" defaultColWidth="14.43" defaultRowHeight="15.75" outlineLevelCol="1" outlineLevelRow="1"/>
  <cols>
    <col customWidth="1" min="1" max="1" width="5.14"/>
    <col customWidth="1" min="2" max="2" width="15.86"/>
    <col customWidth="1" min="3" max="3" width="5.14"/>
    <col customWidth="1" min="4" max="4" width="10.86"/>
    <col customWidth="1" min="5" max="5" width="57.29"/>
    <col customWidth="1" min="6" max="9" width="3.0"/>
    <col customWidth="1" min="10" max="10" width="0.86"/>
    <col customWidth="1" min="11" max="11" width="43.0"/>
    <col collapsed="1" customWidth="1" min="12" max="12" width="8.86"/>
    <col hidden="1" min="13" max="21" width="14.43" outlineLevel="1"/>
  </cols>
  <sheetData>
    <row r="1" ht="7.5" customHeight="1">
      <c r="B1" s="2"/>
      <c r="C1" s="4"/>
      <c r="D1" s="4"/>
      <c r="E1" s="4"/>
      <c r="F1" s="4"/>
      <c r="G1" s="4"/>
      <c r="H1" s="4"/>
      <c r="I1" s="4"/>
      <c r="J1" s="4"/>
      <c r="K1" s="4"/>
      <c r="U1" s="12"/>
    </row>
    <row r="2" ht="42.75" customHeight="1" outlineLevel="1">
      <c r="A2" s="6" t="s">
        <v>2</v>
      </c>
      <c r="C2" s="8" t="s">
        <v>4</v>
      </c>
      <c r="U2" s="12"/>
    </row>
    <row r="3">
      <c r="A3" s="10" t="s">
        <v>474</v>
      </c>
      <c r="B3" s="11"/>
      <c r="C3" s="11"/>
      <c r="D3" s="11"/>
      <c r="E3" s="11"/>
      <c r="F3" s="11"/>
      <c r="G3" s="11"/>
      <c r="H3" s="11"/>
      <c r="I3" s="11"/>
      <c r="J3" s="11"/>
      <c r="K3" s="13"/>
      <c r="U3" s="12"/>
    </row>
    <row r="4" outlineLevel="1">
      <c r="A4" s="33" t="s">
        <v>8</v>
      </c>
      <c r="B4" s="20"/>
      <c r="C4" s="35" t="s">
        <v>10</v>
      </c>
      <c r="D4" s="37" t="s">
        <v>11</v>
      </c>
      <c r="E4" s="39" t="s">
        <v>12</v>
      </c>
      <c r="F4" s="35" t="s">
        <v>13</v>
      </c>
      <c r="G4" s="35" t="s">
        <v>14</v>
      </c>
      <c r="H4" s="35" t="s">
        <v>15</v>
      </c>
      <c r="I4" s="35" t="s">
        <v>16</v>
      </c>
      <c r="J4" s="35"/>
      <c r="K4" s="35" t="s">
        <v>17</v>
      </c>
      <c r="U4" s="12"/>
    </row>
    <row r="5" outlineLevel="1">
      <c r="A5" s="75" t="s">
        <v>102</v>
      </c>
      <c r="B5" s="132" t="s">
        <v>107</v>
      </c>
      <c r="C5" s="31">
        <f t="shared" ref="C5:C23" si="1">countif(F5:I5,TRUE)</f>
        <v>3</v>
      </c>
      <c r="D5" s="41" t="s">
        <v>475</v>
      </c>
      <c r="E5" s="148" t="s">
        <v>476</v>
      </c>
      <c r="F5" s="36" t="b">
        <v>1</v>
      </c>
      <c r="G5" s="36" t="b">
        <v>1</v>
      </c>
      <c r="H5" s="36" t="b">
        <v>1</v>
      </c>
      <c r="I5" s="36" t="b">
        <v>0</v>
      </c>
      <c r="J5" s="149"/>
      <c r="K5" s="150" t="s">
        <v>477</v>
      </c>
      <c r="U5" s="12"/>
    </row>
    <row r="6" outlineLevel="1">
      <c r="A6" s="42"/>
      <c r="B6" s="42"/>
      <c r="C6" s="31">
        <f t="shared" si="1"/>
        <v>3</v>
      </c>
      <c r="D6" s="41" t="s">
        <v>478</v>
      </c>
      <c r="E6" s="148" t="s">
        <v>479</v>
      </c>
      <c r="F6" s="36" t="b">
        <v>1</v>
      </c>
      <c r="G6" s="36" t="b">
        <v>1</v>
      </c>
      <c r="H6" s="36" t="b">
        <v>1</v>
      </c>
      <c r="I6" s="44" t="b">
        <v>0</v>
      </c>
      <c r="J6" s="151"/>
      <c r="K6" s="150" t="s">
        <v>480</v>
      </c>
      <c r="U6" s="12"/>
    </row>
    <row r="7" outlineLevel="1">
      <c r="A7" s="42"/>
      <c r="B7" s="49"/>
      <c r="C7" s="50">
        <f t="shared" si="1"/>
        <v>3</v>
      </c>
      <c r="D7" s="52" t="s">
        <v>481</v>
      </c>
      <c r="E7" s="152" t="s">
        <v>482</v>
      </c>
      <c r="F7" s="58" t="b">
        <v>1</v>
      </c>
      <c r="G7" s="58" t="b">
        <v>1</v>
      </c>
      <c r="H7" s="58" t="b">
        <v>1</v>
      </c>
      <c r="I7" s="64" t="b">
        <v>0</v>
      </c>
      <c r="J7" s="153"/>
      <c r="K7" s="150" t="s">
        <v>483</v>
      </c>
      <c r="U7" s="12"/>
    </row>
    <row r="8" outlineLevel="1">
      <c r="A8" s="42"/>
      <c r="B8" s="134" t="s">
        <v>123</v>
      </c>
      <c r="C8" s="31">
        <f t="shared" si="1"/>
        <v>3</v>
      </c>
      <c r="D8" s="41" t="s">
        <v>484</v>
      </c>
      <c r="E8" s="148" t="s">
        <v>485</v>
      </c>
      <c r="F8" s="36" t="b">
        <v>1</v>
      </c>
      <c r="G8" s="36" t="b">
        <v>1</v>
      </c>
      <c r="H8" s="36" t="b">
        <v>1</v>
      </c>
      <c r="I8" s="36" t="b">
        <v>0</v>
      </c>
      <c r="J8" s="151"/>
      <c r="K8" s="150" t="s">
        <v>487</v>
      </c>
      <c r="U8" s="12"/>
    </row>
    <row r="9" outlineLevel="1">
      <c r="A9" s="42"/>
      <c r="B9" s="42"/>
      <c r="C9" s="31">
        <f t="shared" si="1"/>
        <v>3</v>
      </c>
      <c r="D9" s="41" t="s">
        <v>488</v>
      </c>
      <c r="E9" s="148" t="s">
        <v>489</v>
      </c>
      <c r="F9" s="36" t="b">
        <v>1</v>
      </c>
      <c r="G9" s="36" t="b">
        <v>1</v>
      </c>
      <c r="H9" s="36" t="b">
        <v>1</v>
      </c>
      <c r="I9" s="44" t="b">
        <v>0</v>
      </c>
      <c r="J9" s="151"/>
      <c r="K9" s="150" t="s">
        <v>490</v>
      </c>
      <c r="U9" s="12"/>
    </row>
    <row r="10" outlineLevel="1">
      <c r="A10" s="42"/>
      <c r="B10" s="49"/>
      <c r="C10" s="50">
        <f t="shared" si="1"/>
        <v>3</v>
      </c>
      <c r="D10" s="52" t="s">
        <v>491</v>
      </c>
      <c r="E10" s="152" t="s">
        <v>492</v>
      </c>
      <c r="F10" s="58" t="b">
        <v>1</v>
      </c>
      <c r="G10" s="58" t="b">
        <v>1</v>
      </c>
      <c r="H10" s="58" t="b">
        <v>1</v>
      </c>
      <c r="I10" s="64" t="b">
        <v>0</v>
      </c>
      <c r="J10" s="153"/>
      <c r="K10" s="155" t="s">
        <v>493</v>
      </c>
      <c r="U10" s="12"/>
    </row>
    <row r="11" outlineLevel="1">
      <c r="A11" s="42"/>
      <c r="B11" s="135" t="s">
        <v>141</v>
      </c>
      <c r="C11" s="31">
        <f t="shared" si="1"/>
        <v>1</v>
      </c>
      <c r="D11" s="41" t="s">
        <v>494</v>
      </c>
      <c r="E11" s="148" t="s">
        <v>495</v>
      </c>
      <c r="F11" s="36" t="b">
        <v>1</v>
      </c>
      <c r="G11" s="44" t="b">
        <v>0</v>
      </c>
      <c r="H11" s="44" t="b">
        <v>0</v>
      </c>
      <c r="I11" s="44" t="b">
        <v>0</v>
      </c>
      <c r="J11" s="151"/>
      <c r="K11" s="150" t="s">
        <v>496</v>
      </c>
      <c r="U11" s="12"/>
    </row>
    <row r="12" outlineLevel="1">
      <c r="A12" s="42"/>
      <c r="B12" s="49"/>
      <c r="C12" s="50">
        <f t="shared" si="1"/>
        <v>3</v>
      </c>
      <c r="D12" s="52" t="s">
        <v>498</v>
      </c>
      <c r="E12" s="152" t="s">
        <v>499</v>
      </c>
      <c r="F12" s="58" t="b">
        <v>1</v>
      </c>
      <c r="G12" s="58" t="b">
        <v>1</v>
      </c>
      <c r="H12" s="58" t="b">
        <v>1</v>
      </c>
      <c r="I12" s="64" t="b">
        <v>0</v>
      </c>
      <c r="J12" s="153"/>
      <c r="K12" s="155" t="s">
        <v>500</v>
      </c>
      <c r="U12" s="12"/>
    </row>
    <row r="13" outlineLevel="1">
      <c r="A13" s="49"/>
      <c r="B13" s="136" t="s">
        <v>156</v>
      </c>
      <c r="C13" s="50">
        <f t="shared" si="1"/>
        <v>1</v>
      </c>
      <c r="D13" s="52" t="s">
        <v>501</v>
      </c>
      <c r="E13" s="152" t="s">
        <v>503</v>
      </c>
      <c r="F13" s="58" t="b">
        <v>1</v>
      </c>
      <c r="G13" s="64" t="b">
        <v>0</v>
      </c>
      <c r="H13" s="58" t="b">
        <v>0</v>
      </c>
      <c r="I13" s="64" t="b">
        <v>0</v>
      </c>
      <c r="J13" s="153"/>
      <c r="K13" s="155" t="s">
        <v>504</v>
      </c>
      <c r="U13" s="12"/>
    </row>
    <row r="14" outlineLevel="1">
      <c r="A14" s="87" t="s">
        <v>183</v>
      </c>
      <c r="B14" s="137" t="s">
        <v>107</v>
      </c>
      <c r="C14" s="31">
        <f t="shared" si="1"/>
        <v>4</v>
      </c>
      <c r="D14" s="41" t="s">
        <v>507</v>
      </c>
      <c r="E14" s="148" t="s">
        <v>476</v>
      </c>
      <c r="F14" s="36" t="b">
        <v>1</v>
      </c>
      <c r="G14" s="36" t="b">
        <v>1</v>
      </c>
      <c r="H14" s="36" t="b">
        <v>1</v>
      </c>
      <c r="I14" s="36" t="b">
        <v>1</v>
      </c>
      <c r="J14" s="151"/>
      <c r="K14" s="150" t="s">
        <v>509</v>
      </c>
      <c r="U14" s="12"/>
    </row>
    <row r="15" outlineLevel="1">
      <c r="A15" s="42"/>
      <c r="B15" s="42"/>
      <c r="C15" s="31">
        <f t="shared" si="1"/>
        <v>4</v>
      </c>
      <c r="D15" s="41" t="s">
        <v>512</v>
      </c>
      <c r="E15" s="148" t="s">
        <v>513</v>
      </c>
      <c r="F15" s="36" t="b">
        <v>1</v>
      </c>
      <c r="G15" s="36" t="b">
        <v>1</v>
      </c>
      <c r="H15" s="36" t="b">
        <v>1</v>
      </c>
      <c r="I15" s="36" t="b">
        <v>1</v>
      </c>
      <c r="J15" s="151"/>
      <c r="K15" s="150" t="s">
        <v>514</v>
      </c>
      <c r="U15" s="12"/>
    </row>
    <row r="16" outlineLevel="1">
      <c r="A16" s="42"/>
      <c r="B16" s="49"/>
      <c r="C16" s="50">
        <f t="shared" si="1"/>
        <v>4</v>
      </c>
      <c r="D16" s="52" t="s">
        <v>515</v>
      </c>
      <c r="E16" s="152" t="s">
        <v>516</v>
      </c>
      <c r="F16" s="58" t="b">
        <v>1</v>
      </c>
      <c r="G16" s="58" t="b">
        <v>1</v>
      </c>
      <c r="H16" s="58" t="b">
        <v>1</v>
      </c>
      <c r="I16" s="58" t="b">
        <v>1</v>
      </c>
      <c r="J16" s="153"/>
      <c r="K16" s="150" t="s">
        <v>517</v>
      </c>
      <c r="U16" s="12"/>
    </row>
    <row r="17" outlineLevel="1">
      <c r="A17" s="42"/>
      <c r="B17" s="139" t="s">
        <v>123</v>
      </c>
      <c r="C17" s="31">
        <f t="shared" si="1"/>
        <v>4</v>
      </c>
      <c r="D17" s="41" t="s">
        <v>518</v>
      </c>
      <c r="E17" s="148" t="s">
        <v>519</v>
      </c>
      <c r="F17" s="36" t="b">
        <v>1</v>
      </c>
      <c r="G17" s="36" t="b">
        <v>1</v>
      </c>
      <c r="H17" s="36" t="b">
        <v>1</v>
      </c>
      <c r="I17" s="36" t="b">
        <v>1</v>
      </c>
      <c r="J17" s="151"/>
      <c r="K17" s="150" t="s">
        <v>520</v>
      </c>
      <c r="U17" s="12"/>
    </row>
    <row r="18" outlineLevel="1">
      <c r="A18" s="42"/>
      <c r="B18" s="42"/>
      <c r="C18" s="31">
        <f t="shared" si="1"/>
        <v>4</v>
      </c>
      <c r="D18" s="41" t="s">
        <v>522</v>
      </c>
      <c r="E18" s="148" t="s">
        <v>523</v>
      </c>
      <c r="F18" s="36" t="b">
        <v>1</v>
      </c>
      <c r="G18" s="36" t="b">
        <v>1</v>
      </c>
      <c r="H18" s="36" t="b">
        <v>1</v>
      </c>
      <c r="I18" s="36" t="b">
        <v>1</v>
      </c>
      <c r="J18" s="151"/>
      <c r="K18" s="150" t="s">
        <v>524</v>
      </c>
      <c r="U18" s="12"/>
    </row>
    <row r="19" outlineLevel="1">
      <c r="A19" s="42"/>
      <c r="B19" s="49"/>
      <c r="C19" s="50">
        <f t="shared" si="1"/>
        <v>4</v>
      </c>
      <c r="D19" s="52" t="s">
        <v>525</v>
      </c>
      <c r="E19" s="152" t="s">
        <v>526</v>
      </c>
      <c r="F19" s="58" t="b">
        <v>1</v>
      </c>
      <c r="G19" s="58" t="b">
        <v>1</v>
      </c>
      <c r="H19" s="58" t="b">
        <v>1</v>
      </c>
      <c r="I19" s="58" t="b">
        <v>1</v>
      </c>
      <c r="J19" s="153"/>
      <c r="K19" s="155" t="s">
        <v>528</v>
      </c>
      <c r="U19" s="12"/>
    </row>
    <row r="20" outlineLevel="1">
      <c r="A20" s="42"/>
      <c r="B20" s="141" t="s">
        <v>141</v>
      </c>
      <c r="C20" s="31">
        <f t="shared" si="1"/>
        <v>4</v>
      </c>
      <c r="D20" s="41" t="s">
        <v>529</v>
      </c>
      <c r="E20" s="148" t="s">
        <v>530</v>
      </c>
      <c r="F20" s="36" t="b">
        <v>1</v>
      </c>
      <c r="G20" s="36" t="b">
        <v>1</v>
      </c>
      <c r="H20" s="36" t="b">
        <v>1</v>
      </c>
      <c r="I20" s="36" t="b">
        <v>1</v>
      </c>
      <c r="J20" s="151"/>
      <c r="K20" s="150" t="s">
        <v>531</v>
      </c>
      <c r="U20" s="12"/>
    </row>
    <row r="21" outlineLevel="1">
      <c r="A21" s="42"/>
      <c r="B21" s="42"/>
      <c r="C21" s="31">
        <f t="shared" si="1"/>
        <v>4</v>
      </c>
      <c r="D21" s="41" t="s">
        <v>532</v>
      </c>
      <c r="E21" s="148" t="s">
        <v>533</v>
      </c>
      <c r="F21" s="36" t="b">
        <v>1</v>
      </c>
      <c r="G21" s="36" t="b">
        <v>1</v>
      </c>
      <c r="H21" s="36" t="b">
        <v>1</v>
      </c>
      <c r="I21" s="36" t="b">
        <v>1</v>
      </c>
      <c r="J21" s="151"/>
      <c r="K21" s="150" t="s">
        <v>534</v>
      </c>
      <c r="U21" s="12"/>
    </row>
    <row r="22" outlineLevel="1">
      <c r="A22" s="42"/>
      <c r="B22" s="49"/>
      <c r="C22" s="50">
        <f t="shared" si="1"/>
        <v>4</v>
      </c>
      <c r="D22" s="52" t="s">
        <v>535</v>
      </c>
      <c r="E22" s="152" t="s">
        <v>536</v>
      </c>
      <c r="F22" s="58" t="b">
        <v>1</v>
      </c>
      <c r="G22" s="58" t="b">
        <v>1</v>
      </c>
      <c r="H22" s="58" t="b">
        <v>1</v>
      </c>
      <c r="I22" s="58" t="b">
        <v>1</v>
      </c>
      <c r="J22" s="153"/>
      <c r="K22" s="155" t="s">
        <v>537</v>
      </c>
      <c r="U22" s="12"/>
    </row>
    <row r="23" outlineLevel="1">
      <c r="A23" s="49"/>
      <c r="B23" s="143" t="s">
        <v>156</v>
      </c>
      <c r="C23" s="31">
        <f t="shared" si="1"/>
        <v>4</v>
      </c>
      <c r="D23" s="52" t="s">
        <v>538</v>
      </c>
      <c r="E23" s="152" t="s">
        <v>539</v>
      </c>
      <c r="F23" s="58" t="b">
        <v>1</v>
      </c>
      <c r="G23" s="58" t="b">
        <v>1</v>
      </c>
      <c r="H23" s="58" t="b">
        <v>1</v>
      </c>
      <c r="I23" s="58" t="b">
        <v>1</v>
      </c>
      <c r="J23" s="165"/>
      <c r="K23" s="150" t="s">
        <v>540</v>
      </c>
      <c r="U23" s="12"/>
    </row>
    <row r="24">
      <c r="A24" s="91"/>
      <c r="B24" s="91"/>
      <c r="C24" s="91"/>
      <c r="D24" s="91"/>
      <c r="E24" s="91"/>
      <c r="F24" s="91"/>
      <c r="G24" s="91"/>
      <c r="H24" s="91"/>
      <c r="I24" s="91"/>
      <c r="J24" s="91"/>
      <c r="K24" s="91"/>
      <c r="U24" s="12"/>
    </row>
    <row r="25" ht="69.75" customHeight="1" outlineLevel="1">
      <c r="A25" s="93" t="s">
        <v>2</v>
      </c>
      <c r="C25" s="94" t="s">
        <v>257</v>
      </c>
      <c r="D25" s="8">
        <f>countif(L28:L48,TRUE)</f>
        <v>7</v>
      </c>
      <c r="E25" s="95" t="s">
        <v>262</v>
      </c>
      <c r="F25" s="94" t="s">
        <v>263</v>
      </c>
      <c r="H25" s="97">
        <f>IFERROR(__xludf.DUMMYFUNCTION("COUNTUNIQUE(D5:D23)"),19.0)</f>
        <v>19</v>
      </c>
      <c r="I25" s="98" t="s">
        <v>264</v>
      </c>
      <c r="J25" s="99"/>
      <c r="K25" s="99">
        <f>H25/3</f>
        <v>6.333333333</v>
      </c>
      <c r="L25" s="100"/>
      <c r="M25" s="100"/>
      <c r="N25" s="100"/>
      <c r="O25" s="100"/>
      <c r="P25" s="100"/>
      <c r="Q25" s="100"/>
      <c r="R25" s="100"/>
      <c r="S25" s="100"/>
      <c r="T25" s="100"/>
      <c r="U25" s="102"/>
    </row>
    <row r="26">
      <c r="A26" s="103" t="s">
        <v>272</v>
      </c>
      <c r="B26" s="104"/>
      <c r="C26" s="105">
        <v>1.0</v>
      </c>
      <c r="D26" s="3"/>
      <c r="E26" s="106" t="s">
        <v>274</v>
      </c>
      <c r="F26" s="3"/>
      <c r="G26" s="3"/>
      <c r="H26" s="3"/>
      <c r="I26" s="3"/>
      <c r="J26" s="3"/>
      <c r="K26" s="3"/>
      <c r="U26" s="12"/>
    </row>
    <row r="27">
      <c r="A27" s="107" t="s">
        <v>8</v>
      </c>
      <c r="B27" s="20"/>
      <c r="C27" s="23" t="s">
        <v>10</v>
      </c>
      <c r="D27" s="108" t="s">
        <v>11</v>
      </c>
      <c r="E27" s="26" t="s">
        <v>12</v>
      </c>
      <c r="F27" s="23" t="s">
        <v>13</v>
      </c>
      <c r="G27" s="23" t="s">
        <v>14</v>
      </c>
      <c r="H27" s="23" t="s">
        <v>15</v>
      </c>
      <c r="I27" s="23" t="s">
        <v>16</v>
      </c>
      <c r="J27" s="23"/>
      <c r="K27" s="23" t="s">
        <v>17</v>
      </c>
      <c r="L27" s="25" t="s">
        <v>275</v>
      </c>
      <c r="U27" s="12"/>
    </row>
    <row r="28">
      <c r="A28" s="75" t="s">
        <v>102</v>
      </c>
      <c r="B28" s="132" t="s">
        <v>107</v>
      </c>
      <c r="C28" s="146">
        <f t="shared" ref="C28:C46" si="4">countif(F28:I28,TRUE)</f>
        <v>3</v>
      </c>
      <c r="D28" s="3" t="str">
        <f t="shared" ref="D28:I28" si="2">if($C5&gt;$C$26,D5,"")</f>
        <v>RL.6.1</v>
      </c>
      <c r="E28" s="109" t="str">
        <f t="shared" si="2"/>
        <v>Cite textual evidence to support analysis of what the text says explicitly as well as inferences drawn from the text.</v>
      </c>
      <c r="F28" s="110" t="b">
        <f t="shared" si="2"/>
        <v>1</v>
      </c>
      <c r="G28" s="110" t="b">
        <f t="shared" si="2"/>
        <v>1</v>
      </c>
      <c r="H28" s="110" t="b">
        <f t="shared" si="2"/>
        <v>1</v>
      </c>
      <c r="I28" s="110" t="b">
        <f t="shared" si="2"/>
        <v>0</v>
      </c>
      <c r="J28" s="3"/>
      <c r="K28" s="109" t="str">
        <f t="shared" ref="K28:K46" si="6">if($C5&gt;$C$26,K5,"")</f>
        <v>R-in 7th students are expected to cite several pieces; E-Students will be asked to provide evidence anytime they answer questions; A-students are asked to provide evidence or choose evidence that supports answers; L-no leverage because it is based on fiction</v>
      </c>
      <c r="L28" s="111" t="b">
        <v>1</v>
      </c>
      <c r="M28" s="3">
        <f t="shared" ref="M28:U28" si="3">if($L28=TRUE,C28,"")</f>
        <v>3</v>
      </c>
      <c r="N28" s="3" t="str">
        <f t="shared" si="3"/>
        <v>RL.6.1</v>
      </c>
      <c r="O28" s="3" t="str">
        <f t="shared" si="3"/>
        <v>Cite textual evidence to support analysis of what the text says explicitly as well as inferences drawn from the text.</v>
      </c>
      <c r="P28" s="3" t="b">
        <f t="shared" si="3"/>
        <v>1</v>
      </c>
      <c r="Q28" s="3" t="b">
        <f t="shared" si="3"/>
        <v>1</v>
      </c>
      <c r="R28" s="3" t="b">
        <f t="shared" si="3"/>
        <v>1</v>
      </c>
      <c r="S28" s="3" t="b">
        <f t="shared" si="3"/>
        <v>0</v>
      </c>
      <c r="T28" s="3" t="str">
        <f t="shared" si="3"/>
        <v/>
      </c>
      <c r="U28" s="3" t="str">
        <f t="shared" si="3"/>
        <v>R-in 7th students are expected to cite several pieces; E-Students will be asked to provide evidence anytime they answer questions; A-students are asked to provide evidence or choose evidence that supports answers; L-no leverage because it is based on fiction</v>
      </c>
    </row>
    <row r="29">
      <c r="A29" s="42"/>
      <c r="B29" s="42"/>
      <c r="C29" s="146">
        <f t="shared" si="4"/>
        <v>3</v>
      </c>
      <c r="D29" s="3" t="str">
        <f t="shared" ref="D29:I29" si="5">if($C6&gt;$C$26,D6,"")</f>
        <v>RL.6.2</v>
      </c>
      <c r="E29" s="109" t="str">
        <f t="shared" si="5"/>
        <v>Determine a theme or central idea of a text and how it is conveyed through particular details; provide a summary of the text distinct from personal opinions or judgments.</v>
      </c>
      <c r="F29" s="110" t="b">
        <f t="shared" si="5"/>
        <v>1</v>
      </c>
      <c r="G29" s="110" t="b">
        <f t="shared" si="5"/>
        <v>1</v>
      </c>
      <c r="H29" s="110" t="b">
        <f t="shared" si="5"/>
        <v>1</v>
      </c>
      <c r="I29" s="110" t="b">
        <f t="shared" si="5"/>
        <v>0</v>
      </c>
      <c r="J29" s="3"/>
      <c r="K29" s="109" t="str">
        <f t="shared" si="6"/>
        <v>R-Need in 6th because in 7th they have to be able to analyze the theme; E- as years go on, expectations get more complex; A-we assume it is; L-summarizing and theme part of standard do not have leverage in other subjects because it is based on fiction</v>
      </c>
      <c r="L29" s="111" t="b">
        <v>0</v>
      </c>
      <c r="M29" s="3" t="str">
        <f t="shared" ref="M29:U29" si="7">if($L29=TRUE,C29,"")</f>
        <v/>
      </c>
      <c r="N29" s="3" t="str">
        <f t="shared" si="7"/>
        <v/>
      </c>
      <c r="O29" s="3" t="str">
        <f t="shared" si="7"/>
        <v/>
      </c>
      <c r="P29" s="3" t="str">
        <f t="shared" si="7"/>
        <v/>
      </c>
      <c r="Q29" s="3" t="str">
        <f t="shared" si="7"/>
        <v/>
      </c>
      <c r="R29" s="3" t="str">
        <f t="shared" si="7"/>
        <v/>
      </c>
      <c r="S29" s="3" t="str">
        <f t="shared" si="7"/>
        <v/>
      </c>
      <c r="T29" s="3" t="str">
        <f t="shared" si="7"/>
        <v/>
      </c>
      <c r="U29" s="3" t="str">
        <f t="shared" si="7"/>
        <v/>
      </c>
    </row>
    <row r="30">
      <c r="A30" s="42"/>
      <c r="B30" s="49"/>
      <c r="C30" s="146">
        <f t="shared" si="4"/>
        <v>3</v>
      </c>
      <c r="D30" s="3" t="str">
        <f t="shared" ref="D30:I30" si="8">if($C7&gt;$C$26,D7,"")</f>
        <v>RL.6.3</v>
      </c>
      <c r="E30" s="109" t="str">
        <f t="shared" si="8"/>
        <v>Describe how a particular story’s or drama’s plot unfolds in a series of episodes as well as how the characters respond or change as the plot moves toward a resolution.</v>
      </c>
      <c r="F30" s="110" t="b">
        <f t="shared" si="8"/>
        <v>1</v>
      </c>
      <c r="G30" s="110" t="b">
        <f t="shared" si="8"/>
        <v>1</v>
      </c>
      <c r="H30" s="110" t="b">
        <f t="shared" si="8"/>
        <v>1</v>
      </c>
      <c r="I30" s="110" t="b">
        <f t="shared" si="8"/>
        <v>0</v>
      </c>
      <c r="J30" s="3"/>
      <c r="K30" s="109" t="str">
        <f t="shared" si="6"/>
        <v>R-Need in 6th because in 7th they have to be able to analyze how the elements interact; E-builds as text becomes more complex; A-we can assume; L-not used in other subjects due to being based on fiction</v>
      </c>
      <c r="L30" s="111" t="b">
        <v>1</v>
      </c>
      <c r="M30" s="3">
        <f t="shared" ref="M30:U30" si="9">if($L30=TRUE,C30,"")</f>
        <v>3</v>
      </c>
      <c r="N30" s="3" t="str">
        <f t="shared" si="9"/>
        <v>RL.6.3</v>
      </c>
      <c r="O30" s="3" t="str">
        <f t="shared" si="9"/>
        <v>Describe how a particular story’s or drama’s plot unfolds in a series of episodes as well as how the characters respond or change as the plot moves toward a resolution.</v>
      </c>
      <c r="P30" s="3" t="b">
        <f t="shared" si="9"/>
        <v>1</v>
      </c>
      <c r="Q30" s="3" t="b">
        <f t="shared" si="9"/>
        <v>1</v>
      </c>
      <c r="R30" s="3" t="b">
        <f t="shared" si="9"/>
        <v>1</v>
      </c>
      <c r="S30" s="3" t="b">
        <f t="shared" si="9"/>
        <v>0</v>
      </c>
      <c r="T30" s="3" t="str">
        <f t="shared" si="9"/>
        <v/>
      </c>
      <c r="U30" s="3" t="str">
        <f t="shared" si="9"/>
        <v>R-Need in 6th because in 7th they have to be able to analyze how the elements interact; E-builds as text becomes more complex; A-we can assume; L-not used in other subjects due to being based on fiction</v>
      </c>
    </row>
    <row r="31">
      <c r="A31" s="42"/>
      <c r="B31" s="134" t="s">
        <v>123</v>
      </c>
      <c r="C31" s="146">
        <f t="shared" si="4"/>
        <v>3</v>
      </c>
      <c r="D31" s="3" t="str">
        <f t="shared" ref="D31:I31" si="10">if($C8&gt;$C$26,D8,"")</f>
        <v>RL.6.4</v>
      </c>
      <c r="E31" s="109" t="str">
        <f t="shared" si="10"/>
        <v>Determine the meaning of words and phrases as they are used in a text, including figurative and connotative meanings; analyze the impact of a specific word choice on meaning and tone.</v>
      </c>
      <c r="F31" s="110" t="b">
        <f t="shared" si="10"/>
        <v>1</v>
      </c>
      <c r="G31" s="110" t="b">
        <f t="shared" si="10"/>
        <v>1</v>
      </c>
      <c r="H31" s="110" t="b">
        <f t="shared" si="10"/>
        <v>1</v>
      </c>
      <c r="I31" s="110" t="b">
        <f t="shared" si="10"/>
        <v>0</v>
      </c>
      <c r="J31" s="3"/>
      <c r="K31" s="109" t="str">
        <f t="shared" si="6"/>
        <v>R-Need in 6th because in 7th they have to be able to analyze how they affect the text; E-understanding language deepens comprehension; A-we can assume; L-not used in other subjects due to being based on fiction</v>
      </c>
      <c r="L31" s="111" t="b">
        <v>1</v>
      </c>
      <c r="M31" s="3">
        <f t="shared" ref="M31:U31" si="11">if($L31=TRUE,C31,"")</f>
        <v>3</v>
      </c>
      <c r="N31" s="3" t="str">
        <f t="shared" si="11"/>
        <v>RL.6.4</v>
      </c>
      <c r="O31" s="3" t="str">
        <f t="shared" si="11"/>
        <v>Determine the meaning of words and phrases as they are used in a text, including figurative and connotative meanings; analyze the impact of a specific word choice on meaning and tone.</v>
      </c>
      <c r="P31" s="3" t="b">
        <f t="shared" si="11"/>
        <v>1</v>
      </c>
      <c r="Q31" s="3" t="b">
        <f t="shared" si="11"/>
        <v>1</v>
      </c>
      <c r="R31" s="3" t="b">
        <f t="shared" si="11"/>
        <v>1</v>
      </c>
      <c r="S31" s="3" t="b">
        <f t="shared" si="11"/>
        <v>0</v>
      </c>
      <c r="T31" s="3" t="str">
        <f t="shared" si="11"/>
        <v/>
      </c>
      <c r="U31" s="3" t="str">
        <f t="shared" si="11"/>
        <v>R-Need in 6th because in 7th they have to be able to analyze how they affect the text; E-understanding language deepens comprehension; A-we can assume; L-not used in other subjects due to being based on fiction</v>
      </c>
    </row>
    <row r="32">
      <c r="A32" s="42"/>
      <c r="B32" s="42"/>
      <c r="C32" s="146">
        <f t="shared" si="4"/>
        <v>3</v>
      </c>
      <c r="D32" s="3" t="str">
        <f t="shared" ref="D32:I32" si="12">if($C9&gt;$C$26,D9,"")</f>
        <v>RL.6.5</v>
      </c>
      <c r="E32" s="109" t="str">
        <f t="shared" si="12"/>
        <v>Analyze how a particular sentence, chapter, scene, or stanza fits into the overall structure of a text and contributes to the development of the theme, setting, or plot.</v>
      </c>
      <c r="F32" s="110" t="b">
        <f t="shared" si="12"/>
        <v>1</v>
      </c>
      <c r="G32" s="110" t="b">
        <f t="shared" si="12"/>
        <v>1</v>
      </c>
      <c r="H32" s="110" t="b">
        <f t="shared" si="12"/>
        <v>1</v>
      </c>
      <c r="I32" s="110" t="b">
        <f t="shared" si="12"/>
        <v>0</v>
      </c>
      <c r="J32" s="3"/>
      <c r="K32" s="109" t="str">
        <f t="shared" si="6"/>
        <v>R-Need in 6th because in 7th they have to be able to analyze the meaning of the element itself; E-as the text becomes more complex, the students will be expected to analyze and explain author's choices; A-we assume it is; L-not used in other subjects because it is based on fiction</v>
      </c>
      <c r="L32" s="113" t="b">
        <v>0</v>
      </c>
      <c r="M32" s="3" t="str">
        <f t="shared" ref="M32:U32" si="13">if($L32=TRUE,C32,"")</f>
        <v/>
      </c>
      <c r="N32" s="3" t="str">
        <f t="shared" si="13"/>
        <v/>
      </c>
      <c r="O32" s="3" t="str">
        <f t="shared" si="13"/>
        <v/>
      </c>
      <c r="P32" s="3" t="str">
        <f t="shared" si="13"/>
        <v/>
      </c>
      <c r="Q32" s="3" t="str">
        <f t="shared" si="13"/>
        <v/>
      </c>
      <c r="R32" s="3" t="str">
        <f t="shared" si="13"/>
        <v/>
      </c>
      <c r="S32" s="3" t="str">
        <f t="shared" si="13"/>
        <v/>
      </c>
      <c r="T32" s="3" t="str">
        <f t="shared" si="13"/>
        <v/>
      </c>
      <c r="U32" s="3" t="str">
        <f t="shared" si="13"/>
        <v/>
      </c>
    </row>
    <row r="33">
      <c r="A33" s="42"/>
      <c r="B33" s="49"/>
      <c r="C33" s="146">
        <f t="shared" si="4"/>
        <v>3</v>
      </c>
      <c r="D33" s="3" t="str">
        <f t="shared" ref="D33:I33" si="14">if($C10&gt;$C$26,D10,"")</f>
        <v>RL.6.6</v>
      </c>
      <c r="E33" s="109" t="str">
        <f t="shared" si="14"/>
        <v>Explain how an author develops the point of view of the narrator or speaker in a text.</v>
      </c>
      <c r="F33" s="110" t="b">
        <f t="shared" si="14"/>
        <v>1</v>
      </c>
      <c r="G33" s="110" t="b">
        <f t="shared" si="14"/>
        <v>1</v>
      </c>
      <c r="H33" s="110" t="b">
        <f t="shared" si="14"/>
        <v>1</v>
      </c>
      <c r="I33" s="110" t="b">
        <f t="shared" si="14"/>
        <v>0</v>
      </c>
      <c r="J33" s="3"/>
      <c r="K33" s="109" t="str">
        <f t="shared" si="6"/>
        <v>R-need in 6th because in 7th they have to be able to analyze how the author develops the POV; E-as the text becomes more complex, students will be expected to analyze and compare and contrast POV; A-we can assume; L-not used in other subjects because it is based on fiction</v>
      </c>
      <c r="L33" s="113" t="b">
        <v>0</v>
      </c>
      <c r="M33" s="3" t="str">
        <f t="shared" ref="M33:U33" si="15">if($L33=TRUE,C33,"")</f>
        <v/>
      </c>
      <c r="N33" s="3" t="str">
        <f t="shared" si="15"/>
        <v/>
      </c>
      <c r="O33" s="3" t="str">
        <f t="shared" si="15"/>
        <v/>
      </c>
      <c r="P33" s="3" t="str">
        <f t="shared" si="15"/>
        <v/>
      </c>
      <c r="Q33" s="3" t="str">
        <f t="shared" si="15"/>
        <v/>
      </c>
      <c r="R33" s="3" t="str">
        <f t="shared" si="15"/>
        <v/>
      </c>
      <c r="S33" s="3" t="str">
        <f t="shared" si="15"/>
        <v/>
      </c>
      <c r="T33" s="3" t="str">
        <f t="shared" si="15"/>
        <v/>
      </c>
      <c r="U33" s="3" t="str">
        <f t="shared" si="15"/>
        <v/>
      </c>
    </row>
    <row r="34">
      <c r="A34" s="42"/>
      <c r="B34" s="135" t="s">
        <v>141</v>
      </c>
      <c r="C34" s="146">
        <f t="shared" si="4"/>
        <v>0</v>
      </c>
      <c r="D34" s="3" t="str">
        <f t="shared" ref="D34:I34" si="16">if($C11&gt;$C$26,D11,"")</f>
        <v/>
      </c>
      <c r="E34" s="109" t="str">
        <f t="shared" si="16"/>
        <v/>
      </c>
      <c r="F34" s="110" t="str">
        <f t="shared" si="16"/>
        <v/>
      </c>
      <c r="G34" s="110" t="str">
        <f t="shared" si="16"/>
        <v/>
      </c>
      <c r="H34" s="110" t="str">
        <f t="shared" si="16"/>
        <v/>
      </c>
      <c r="I34" s="110" t="str">
        <f t="shared" si="16"/>
        <v/>
      </c>
      <c r="J34" s="3"/>
      <c r="K34" s="109" t="str">
        <f t="shared" si="6"/>
        <v/>
      </c>
      <c r="L34" s="113" t="b">
        <v>0</v>
      </c>
      <c r="M34" s="3" t="str">
        <f t="shared" ref="M34:U34" si="17">if($L34=TRUE,C34,"")</f>
        <v/>
      </c>
      <c r="N34" s="3" t="str">
        <f t="shared" si="17"/>
        <v/>
      </c>
      <c r="O34" s="3" t="str">
        <f t="shared" si="17"/>
        <v/>
      </c>
      <c r="P34" s="3" t="str">
        <f t="shared" si="17"/>
        <v/>
      </c>
      <c r="Q34" s="3" t="str">
        <f t="shared" si="17"/>
        <v/>
      </c>
      <c r="R34" s="3" t="str">
        <f t="shared" si="17"/>
        <v/>
      </c>
      <c r="S34" s="3" t="str">
        <f t="shared" si="17"/>
        <v/>
      </c>
      <c r="T34" s="3" t="str">
        <f t="shared" si="17"/>
        <v/>
      </c>
      <c r="U34" s="3" t="str">
        <f t="shared" si="17"/>
        <v/>
      </c>
    </row>
    <row r="35">
      <c r="A35" s="42"/>
      <c r="B35" s="49"/>
      <c r="C35" s="146">
        <f t="shared" si="4"/>
        <v>3</v>
      </c>
      <c r="D35" s="3" t="str">
        <f t="shared" ref="D35:I35" si="18">if($C12&gt;$C$26,D12,"")</f>
        <v>RL.6.9</v>
      </c>
      <c r="E35" s="109" t="str">
        <f t="shared" si="18"/>
        <v>Compare and contrast texts in different forms or genres (e.g., stories and poems; historical novels and fantasy stories) in terms of their approaches to similar themes and topics.</v>
      </c>
      <c r="F35" s="110" t="b">
        <f t="shared" si="18"/>
        <v>1</v>
      </c>
      <c r="G35" s="110" t="b">
        <f t="shared" si="18"/>
        <v>1</v>
      </c>
      <c r="H35" s="110" t="b">
        <f t="shared" si="18"/>
        <v>1</v>
      </c>
      <c r="I35" s="110" t="b">
        <f t="shared" si="18"/>
        <v>0</v>
      </c>
      <c r="J35" s="3"/>
      <c r="K35" s="109" t="str">
        <f t="shared" si="6"/>
        <v>R-need in 6th  because in 7th they have to explain why the author uses or alters history; E-as texts become more complex, students are expected to analyze author addresses theme; A-we can assume; L-not used in other subjects due to the fact it is based on fiction</v>
      </c>
      <c r="L35" s="111" t="b">
        <v>0</v>
      </c>
      <c r="M35" s="3" t="str">
        <f t="shared" ref="M35:U35" si="19">if($L35=TRUE,C35,"")</f>
        <v/>
      </c>
      <c r="N35" s="3" t="str">
        <f t="shared" si="19"/>
        <v/>
      </c>
      <c r="O35" s="3" t="str">
        <f t="shared" si="19"/>
        <v/>
      </c>
      <c r="P35" s="3" t="str">
        <f t="shared" si="19"/>
        <v/>
      </c>
      <c r="Q35" s="3" t="str">
        <f t="shared" si="19"/>
        <v/>
      </c>
      <c r="R35" s="3" t="str">
        <f t="shared" si="19"/>
        <v/>
      </c>
      <c r="S35" s="3" t="str">
        <f t="shared" si="19"/>
        <v/>
      </c>
      <c r="T35" s="3" t="str">
        <f t="shared" si="19"/>
        <v/>
      </c>
      <c r="U35" s="3" t="str">
        <f t="shared" si="19"/>
        <v/>
      </c>
    </row>
    <row r="36">
      <c r="A36" s="49"/>
      <c r="B36" s="136" t="s">
        <v>156</v>
      </c>
      <c r="C36" s="146">
        <f t="shared" si="4"/>
        <v>0</v>
      </c>
      <c r="D36" s="3" t="str">
        <f t="shared" ref="D36:I36" si="20">if($C13&gt;$C$26,D13,"")</f>
        <v/>
      </c>
      <c r="E36" s="109" t="str">
        <f t="shared" si="20"/>
        <v/>
      </c>
      <c r="F36" s="110" t="str">
        <f t="shared" si="20"/>
        <v/>
      </c>
      <c r="G36" s="110" t="str">
        <f t="shared" si="20"/>
        <v/>
      </c>
      <c r="H36" s="110" t="str">
        <f t="shared" si="20"/>
        <v/>
      </c>
      <c r="I36" s="110" t="str">
        <f t="shared" si="20"/>
        <v/>
      </c>
      <c r="J36" s="3"/>
      <c r="K36" s="109" t="str">
        <f t="shared" si="6"/>
        <v/>
      </c>
      <c r="L36" s="111" t="b">
        <v>0</v>
      </c>
      <c r="M36" s="3" t="str">
        <f t="shared" ref="M36:U36" si="21">if($L36=TRUE,C36,"")</f>
        <v/>
      </c>
      <c r="N36" s="3" t="str">
        <f t="shared" si="21"/>
        <v/>
      </c>
      <c r="O36" s="3" t="str">
        <f t="shared" si="21"/>
        <v/>
      </c>
      <c r="P36" s="3" t="str">
        <f t="shared" si="21"/>
        <v/>
      </c>
      <c r="Q36" s="3" t="str">
        <f t="shared" si="21"/>
        <v/>
      </c>
      <c r="R36" s="3" t="str">
        <f t="shared" si="21"/>
        <v/>
      </c>
      <c r="S36" s="3" t="str">
        <f t="shared" si="21"/>
        <v/>
      </c>
      <c r="T36" s="3" t="str">
        <f t="shared" si="21"/>
        <v/>
      </c>
      <c r="U36" s="3" t="str">
        <f t="shared" si="21"/>
        <v/>
      </c>
    </row>
    <row r="37">
      <c r="A37" s="87" t="s">
        <v>183</v>
      </c>
      <c r="B37" s="137" t="s">
        <v>107</v>
      </c>
      <c r="C37" s="146">
        <f t="shared" si="4"/>
        <v>4</v>
      </c>
      <c r="D37" s="3" t="str">
        <f t="shared" ref="D37:I37" si="22">if($C14&gt;$C$26,D14,"")</f>
        <v>RI.6.1</v>
      </c>
      <c r="E37" s="109" t="str">
        <f t="shared" si="22"/>
        <v>Cite textual evidence to support analysis of what the text says explicitly as well as inferences drawn from the text.</v>
      </c>
      <c r="F37" s="110" t="b">
        <f t="shared" si="22"/>
        <v>1</v>
      </c>
      <c r="G37" s="110" t="b">
        <f t="shared" si="22"/>
        <v>1</v>
      </c>
      <c r="H37" s="110" t="b">
        <f t="shared" si="22"/>
        <v>1</v>
      </c>
      <c r="I37" s="110" t="b">
        <f t="shared" si="22"/>
        <v>1</v>
      </c>
      <c r="J37" s="3"/>
      <c r="K37" s="109" t="str">
        <f t="shared" si="6"/>
        <v>R-need in 6th because in 7th students are expected cite evidence from several pieces of text; E-as texts become more complex, students have to analyze multiple texts; A-we can assume; L-can use in all subjects</v>
      </c>
      <c r="L37" s="111" t="b">
        <v>1</v>
      </c>
      <c r="M37" s="3">
        <f t="shared" ref="M37:U37" si="23">if($L37=TRUE,C37,"")</f>
        <v>4</v>
      </c>
      <c r="N37" s="3" t="str">
        <f t="shared" si="23"/>
        <v>RI.6.1</v>
      </c>
      <c r="O37" s="3" t="str">
        <f t="shared" si="23"/>
        <v>Cite textual evidence to support analysis of what the text says explicitly as well as inferences drawn from the text.</v>
      </c>
      <c r="P37" s="3" t="b">
        <f t="shared" si="23"/>
        <v>1</v>
      </c>
      <c r="Q37" s="3" t="b">
        <f t="shared" si="23"/>
        <v>1</v>
      </c>
      <c r="R37" s="3" t="b">
        <f t="shared" si="23"/>
        <v>1</v>
      </c>
      <c r="S37" s="3" t="b">
        <f t="shared" si="23"/>
        <v>1</v>
      </c>
      <c r="T37" s="3" t="str">
        <f t="shared" si="23"/>
        <v/>
      </c>
      <c r="U37" s="3" t="str">
        <f t="shared" si="23"/>
        <v>R-need in 6th because in 7th students are expected cite evidence from several pieces of text; E-as texts become more complex, students have to analyze multiple texts; A-we can assume; L-can use in all subjects</v>
      </c>
    </row>
    <row r="38">
      <c r="A38" s="42"/>
      <c r="B38" s="42"/>
      <c r="C38" s="146">
        <f t="shared" si="4"/>
        <v>4</v>
      </c>
      <c r="D38" s="3" t="str">
        <f t="shared" ref="D38:I38" si="24">if($C15&gt;$C$26,D15,"")</f>
        <v>RI.6.2</v>
      </c>
      <c r="E38" s="109" t="str">
        <f t="shared" si="24"/>
        <v>Determine a central idea of a text and how it is conveyed through particular details; provide a summary of the text distinct from personal opinions or judgments.</v>
      </c>
      <c r="F38" s="110" t="b">
        <f t="shared" si="24"/>
        <v>1</v>
      </c>
      <c r="G38" s="110" t="b">
        <f t="shared" si="24"/>
        <v>1</v>
      </c>
      <c r="H38" s="110" t="b">
        <f t="shared" si="24"/>
        <v>1</v>
      </c>
      <c r="I38" s="110" t="b">
        <f t="shared" si="24"/>
        <v>1</v>
      </c>
      <c r="J38" s="3"/>
      <c r="K38" s="109" t="str">
        <f t="shared" si="6"/>
        <v>R-need in 6th because in 7th the students have to be able to analyze the development of central ideas; E-as texts become more complex, the students will be expected to analyze and explain how ideas were developed and summarize without judgement; A- we can assume; L-can be used in other subjects</v>
      </c>
      <c r="L38" s="111" t="b">
        <v>1</v>
      </c>
      <c r="M38" s="3">
        <f t="shared" ref="M38:U38" si="25">if($L38=TRUE,C38,"")</f>
        <v>4</v>
      </c>
      <c r="N38" s="3" t="str">
        <f t="shared" si="25"/>
        <v>RI.6.2</v>
      </c>
      <c r="O38" s="3" t="str">
        <f t="shared" si="25"/>
        <v>Determine a central idea of a text and how it is conveyed through particular details; provide a summary of the text distinct from personal opinions or judgments.</v>
      </c>
      <c r="P38" s="3" t="b">
        <f t="shared" si="25"/>
        <v>1</v>
      </c>
      <c r="Q38" s="3" t="b">
        <f t="shared" si="25"/>
        <v>1</v>
      </c>
      <c r="R38" s="3" t="b">
        <f t="shared" si="25"/>
        <v>1</v>
      </c>
      <c r="S38" s="3" t="b">
        <f t="shared" si="25"/>
        <v>1</v>
      </c>
      <c r="T38" s="3" t="str">
        <f t="shared" si="25"/>
        <v/>
      </c>
      <c r="U38" s="3" t="str">
        <f t="shared" si="25"/>
        <v>R-need in 6th because in 7th the students have to be able to analyze the development of central ideas; E-as texts become more complex, the students will be expected to analyze and explain how ideas were developed and summarize without judgement; A- we can assume; L-can be used in other subjects</v>
      </c>
    </row>
    <row r="39">
      <c r="A39" s="42"/>
      <c r="B39" s="49"/>
      <c r="C39" s="146">
        <f t="shared" si="4"/>
        <v>4</v>
      </c>
      <c r="D39" s="3" t="str">
        <f t="shared" ref="D39:I39" si="26">if($C16&gt;$C$26,D16,"")</f>
        <v>RI.6.3</v>
      </c>
      <c r="E39" s="109" t="str">
        <f t="shared" si="26"/>
        <v>Analyze in detail how a key individual, event, or idea is introduced, illustrated, and elaborated in a text (e.g., through examples or anecdotes).</v>
      </c>
      <c r="F39" s="110" t="b">
        <f t="shared" si="26"/>
        <v>1</v>
      </c>
      <c r="G39" s="110" t="b">
        <f t="shared" si="26"/>
        <v>1</v>
      </c>
      <c r="H39" s="110" t="b">
        <f t="shared" si="26"/>
        <v>1</v>
      </c>
      <c r="I39" s="110" t="b">
        <f t="shared" si="26"/>
        <v>1</v>
      </c>
      <c r="J39" s="3"/>
      <c r="K39" s="109" t="str">
        <f t="shared" si="6"/>
        <v>R-need in 6th because in 7th the students have to be able to analyze the interactions between people and events; E-students are expected to apply skill to more complex text; A-we can assume;L-can be used in other subjects</v>
      </c>
      <c r="L39" s="111" t="b">
        <v>1</v>
      </c>
      <c r="M39" s="3">
        <f t="shared" ref="M39:U39" si="27">if($L39=TRUE,C39,"")</f>
        <v>4</v>
      </c>
      <c r="N39" s="3" t="str">
        <f t="shared" si="27"/>
        <v>RI.6.3</v>
      </c>
      <c r="O39" s="3" t="str">
        <f t="shared" si="27"/>
        <v>Analyze in detail how a key individual, event, or idea is introduced, illustrated, and elaborated in a text (e.g., through examples or anecdotes).</v>
      </c>
      <c r="P39" s="3" t="b">
        <f t="shared" si="27"/>
        <v>1</v>
      </c>
      <c r="Q39" s="3" t="b">
        <f t="shared" si="27"/>
        <v>1</v>
      </c>
      <c r="R39" s="3" t="b">
        <f t="shared" si="27"/>
        <v>1</v>
      </c>
      <c r="S39" s="3" t="b">
        <f t="shared" si="27"/>
        <v>1</v>
      </c>
      <c r="T39" s="3" t="str">
        <f t="shared" si="27"/>
        <v/>
      </c>
      <c r="U39" s="3" t="str">
        <f t="shared" si="27"/>
        <v>R-need in 6th because in 7th the students have to be able to analyze the interactions between people and events; E-students are expected to apply skill to more complex text; A-we can assume;L-can be used in other subjects</v>
      </c>
    </row>
    <row r="40">
      <c r="A40" s="42"/>
      <c r="B40" s="139" t="s">
        <v>123</v>
      </c>
      <c r="C40" s="146">
        <f t="shared" si="4"/>
        <v>4</v>
      </c>
      <c r="D40" s="3" t="str">
        <f t="shared" ref="D40:I40" si="28">if($C17&gt;$C$26,D17,"")</f>
        <v>RI.6.4</v>
      </c>
      <c r="E40" s="109" t="str">
        <f t="shared" si="28"/>
        <v>Determine the meaning of words and phrases as they are used in a text, including figurative, connotative, and technical meanings.</v>
      </c>
      <c r="F40" s="110" t="b">
        <f t="shared" si="28"/>
        <v>1</v>
      </c>
      <c r="G40" s="110" t="b">
        <f t="shared" si="28"/>
        <v>1</v>
      </c>
      <c r="H40" s="110" t="b">
        <f t="shared" si="28"/>
        <v>1</v>
      </c>
      <c r="I40" s="110" t="b">
        <f t="shared" si="28"/>
        <v>1</v>
      </c>
      <c r="J40" s="3"/>
      <c r="K40" s="109" t="str">
        <f t="shared" si="6"/>
        <v>R-need in 6th because in 7th students are expected to  analyze the impact of a specific word choice on meaning and tone;E-as texts become more complex, students will have to analyze the impact of language in a text; A-we can assume; L-can be used in other subjects </v>
      </c>
      <c r="L40" s="111" t="b">
        <v>1</v>
      </c>
      <c r="M40" s="3">
        <f t="shared" ref="M40:U40" si="29">if($L40=TRUE,C40,"")</f>
        <v>4</v>
      </c>
      <c r="N40" s="3" t="str">
        <f t="shared" si="29"/>
        <v>RI.6.4</v>
      </c>
      <c r="O40" s="3" t="str">
        <f t="shared" si="29"/>
        <v>Determine the meaning of words and phrases as they are used in a text, including figurative, connotative, and technical meanings.</v>
      </c>
      <c r="P40" s="3" t="b">
        <f t="shared" si="29"/>
        <v>1</v>
      </c>
      <c r="Q40" s="3" t="b">
        <f t="shared" si="29"/>
        <v>1</v>
      </c>
      <c r="R40" s="3" t="b">
        <f t="shared" si="29"/>
        <v>1</v>
      </c>
      <c r="S40" s="3" t="b">
        <f t="shared" si="29"/>
        <v>1</v>
      </c>
      <c r="T40" s="3" t="str">
        <f t="shared" si="29"/>
        <v/>
      </c>
      <c r="U40" s="3" t="str">
        <f t="shared" si="29"/>
        <v>R-need in 6th because in 7th students are expected to  analyze the impact of a specific word choice on meaning and tone;E-as texts become more complex, students will have to analyze the impact of language in a text; A-we can assume; L-can be used in other subjects </v>
      </c>
    </row>
    <row r="41">
      <c r="A41" s="42"/>
      <c r="B41" s="42"/>
      <c r="C41" s="146">
        <f t="shared" si="4"/>
        <v>4</v>
      </c>
      <c r="D41" s="3" t="str">
        <f t="shared" ref="D41:I41" si="30">if($C18&gt;$C$26,D18,"")</f>
        <v>RI.6.5</v>
      </c>
      <c r="E41" s="109" t="str">
        <f t="shared" si="30"/>
        <v>Analyze how a particular sentence, paragraph, chapter, or section fits into the overall structure of a text and contributes to the development of the ideas.</v>
      </c>
      <c r="F41" s="110" t="b">
        <f t="shared" si="30"/>
        <v>1</v>
      </c>
      <c r="G41" s="110" t="b">
        <f t="shared" si="30"/>
        <v>1</v>
      </c>
      <c r="H41" s="110" t="b">
        <f t="shared" si="30"/>
        <v>1</v>
      </c>
      <c r="I41" s="110" t="b">
        <f t="shared" si="30"/>
        <v>1</v>
      </c>
      <c r="J41" s="3"/>
      <c r="K41" s="109" t="str">
        <f t="shared" si="6"/>
        <v>R-7th grade expects students to analyze structure an author uses to organize a text; E-students are expected to apply skill as text becomes more complex; A-we can assume; L-can be used in other subjects</v>
      </c>
      <c r="L41" s="113" t="b">
        <v>0</v>
      </c>
      <c r="M41" s="3" t="str">
        <f t="shared" ref="M41:U41" si="31">if($L41=TRUE,C41,"")</f>
        <v/>
      </c>
      <c r="N41" s="3" t="str">
        <f t="shared" si="31"/>
        <v/>
      </c>
      <c r="O41" s="3" t="str">
        <f t="shared" si="31"/>
        <v/>
      </c>
      <c r="P41" s="3" t="str">
        <f t="shared" si="31"/>
        <v/>
      </c>
      <c r="Q41" s="3" t="str">
        <f t="shared" si="31"/>
        <v/>
      </c>
      <c r="R41" s="3" t="str">
        <f t="shared" si="31"/>
        <v/>
      </c>
      <c r="S41" s="3" t="str">
        <f t="shared" si="31"/>
        <v/>
      </c>
      <c r="T41" s="3" t="str">
        <f t="shared" si="31"/>
        <v/>
      </c>
      <c r="U41" s="3" t="str">
        <f t="shared" si="31"/>
        <v/>
      </c>
    </row>
    <row r="42">
      <c r="A42" s="42"/>
      <c r="B42" s="49"/>
      <c r="C42" s="146">
        <f t="shared" si="4"/>
        <v>4</v>
      </c>
      <c r="D42" s="3" t="str">
        <f t="shared" ref="D42:I42" si="32">if($C19&gt;$C$26,D19,"")</f>
        <v>RI.6.6</v>
      </c>
      <c r="E42" s="109" t="str">
        <f t="shared" si="32"/>
        <v>Determine an author’s point of view or purpose in a text and explain how it is conveyed in the text.</v>
      </c>
      <c r="F42" s="110" t="b">
        <f t="shared" si="32"/>
        <v>1</v>
      </c>
      <c r="G42" s="110" t="b">
        <f t="shared" si="32"/>
        <v>1</v>
      </c>
      <c r="H42" s="110" t="b">
        <f t="shared" si="32"/>
        <v>1</v>
      </c>
      <c r="I42" s="110" t="b">
        <f t="shared" si="32"/>
        <v>1</v>
      </c>
      <c r="J42" s="3"/>
      <c r="K42" s="109" t="str">
        <f t="shared" si="6"/>
        <v>R-need in 6th because in 7th students are expected to analyze how the author distinguishes his/her position from that of others; E-students are expected to apply skill as text becomes more complex; A-we can assume; L-can be used in other subjects</v>
      </c>
      <c r="L42" s="111" t="b">
        <v>0</v>
      </c>
      <c r="M42" s="3" t="str">
        <f t="shared" ref="M42:U42" si="33">if($L42=TRUE,C42,"")</f>
        <v/>
      </c>
      <c r="N42" s="3" t="str">
        <f t="shared" si="33"/>
        <v/>
      </c>
      <c r="O42" s="3" t="str">
        <f t="shared" si="33"/>
        <v/>
      </c>
      <c r="P42" s="3" t="str">
        <f t="shared" si="33"/>
        <v/>
      </c>
      <c r="Q42" s="3" t="str">
        <f t="shared" si="33"/>
        <v/>
      </c>
      <c r="R42" s="3" t="str">
        <f t="shared" si="33"/>
        <v/>
      </c>
      <c r="S42" s="3" t="str">
        <f t="shared" si="33"/>
        <v/>
      </c>
      <c r="T42" s="3" t="str">
        <f t="shared" si="33"/>
        <v/>
      </c>
      <c r="U42" s="3" t="str">
        <f t="shared" si="33"/>
        <v/>
      </c>
    </row>
    <row r="43">
      <c r="A43" s="42"/>
      <c r="B43" s="141" t="s">
        <v>141</v>
      </c>
      <c r="C43" s="146">
        <f t="shared" si="4"/>
        <v>4</v>
      </c>
      <c r="D43" s="3" t="str">
        <f t="shared" ref="D43:I43" si="34">if($C20&gt;$C$26,D20,"")</f>
        <v>RI.6.7</v>
      </c>
      <c r="E43" s="109" t="str">
        <f t="shared" si="34"/>
        <v>Integrate information presented in different media or formats (e.g., visually, quantitatively) as well as in words to develop a coherent understanding of a topic or issue</v>
      </c>
      <c r="F43" s="110" t="b">
        <f t="shared" si="34"/>
        <v>1</v>
      </c>
      <c r="G43" s="110" t="b">
        <f t="shared" si="34"/>
        <v>1</v>
      </c>
      <c r="H43" s="110" t="b">
        <f t="shared" si="34"/>
        <v>1</v>
      </c>
      <c r="I43" s="110" t="b">
        <f t="shared" si="34"/>
        <v>1</v>
      </c>
      <c r="J43" s="3"/>
      <c r="K43" s="109" t="str">
        <f t="shared" si="6"/>
        <v>R-7th grade expects students to compare and contrast various formats of text;  E-students can use various formats to understand text; A-we can assume; L-can be used in other subjects</v>
      </c>
      <c r="L43" s="113" t="b">
        <v>0</v>
      </c>
      <c r="M43" s="3" t="str">
        <f t="shared" ref="M43:U43" si="35">if($L43=TRUE,C43,"")</f>
        <v/>
      </c>
      <c r="N43" s="3" t="str">
        <f t="shared" si="35"/>
        <v/>
      </c>
      <c r="O43" s="3" t="str">
        <f t="shared" si="35"/>
        <v/>
      </c>
      <c r="P43" s="3" t="str">
        <f t="shared" si="35"/>
        <v/>
      </c>
      <c r="Q43" s="3" t="str">
        <f t="shared" si="35"/>
        <v/>
      </c>
      <c r="R43" s="3" t="str">
        <f t="shared" si="35"/>
        <v/>
      </c>
      <c r="S43" s="3" t="str">
        <f t="shared" si="35"/>
        <v/>
      </c>
      <c r="T43" s="3" t="str">
        <f t="shared" si="35"/>
        <v/>
      </c>
      <c r="U43" s="3" t="str">
        <f t="shared" si="35"/>
        <v/>
      </c>
    </row>
    <row r="44">
      <c r="A44" s="42"/>
      <c r="B44" s="42"/>
      <c r="C44" s="146">
        <f t="shared" si="4"/>
        <v>4</v>
      </c>
      <c r="D44" s="3" t="str">
        <f t="shared" ref="D44:I44" si="36">if($C21&gt;$C$26,D21,"")</f>
        <v>RI.6.8</v>
      </c>
      <c r="E44" s="109" t="str">
        <f t="shared" si="36"/>
        <v>Trace and evaluate the argument and specific claims in a text, distinguishing claims that are supported by reasons and evidence from claims that are not.</v>
      </c>
      <c r="F44" s="110" t="b">
        <f t="shared" si="36"/>
        <v>1</v>
      </c>
      <c r="G44" s="110" t="b">
        <f t="shared" si="36"/>
        <v>1</v>
      </c>
      <c r="H44" s="110" t="b">
        <f t="shared" si="36"/>
        <v>1</v>
      </c>
      <c r="I44" s="110" t="b">
        <f t="shared" si="36"/>
        <v>1</v>
      </c>
      <c r="J44" s="3"/>
      <c r="K44" s="109" t="str">
        <f t="shared" si="6"/>
        <v>R-7th grade expects students to assess reasoning and evidence; E-this skill is the main component of ACT; A-we can assume; L-can be used in other subjects</v>
      </c>
      <c r="L44" s="113" t="b">
        <v>0</v>
      </c>
      <c r="M44" s="3" t="str">
        <f t="shared" ref="M44:U44" si="37">if($L44=TRUE,C44,"")</f>
        <v/>
      </c>
      <c r="N44" s="3" t="str">
        <f t="shared" si="37"/>
        <v/>
      </c>
      <c r="O44" s="3" t="str">
        <f t="shared" si="37"/>
        <v/>
      </c>
      <c r="P44" s="3" t="str">
        <f t="shared" si="37"/>
        <v/>
      </c>
      <c r="Q44" s="3" t="str">
        <f t="shared" si="37"/>
        <v/>
      </c>
      <c r="R44" s="3" t="str">
        <f t="shared" si="37"/>
        <v/>
      </c>
      <c r="S44" s="3" t="str">
        <f t="shared" si="37"/>
        <v/>
      </c>
      <c r="T44" s="3" t="str">
        <f t="shared" si="37"/>
        <v/>
      </c>
      <c r="U44" s="3" t="str">
        <f t="shared" si="37"/>
        <v/>
      </c>
    </row>
    <row r="45">
      <c r="A45" s="42"/>
      <c r="B45" s="49"/>
      <c r="C45" s="146">
        <f t="shared" si="4"/>
        <v>4</v>
      </c>
      <c r="D45" s="3" t="str">
        <f t="shared" ref="D45:I45" si="38">if($C22&gt;$C$26,D22,"")</f>
        <v>RI.6.9</v>
      </c>
      <c r="E45" s="109" t="str">
        <f t="shared" si="38"/>
        <v>Compare and contrast one author’s presentation of events with that of another (e.g., a memoir written by and a biography on the same person).</v>
      </c>
      <c r="F45" s="110" t="b">
        <f t="shared" si="38"/>
        <v>1</v>
      </c>
      <c r="G45" s="110" t="b">
        <f t="shared" si="38"/>
        <v>1</v>
      </c>
      <c r="H45" s="110" t="b">
        <f t="shared" si="38"/>
        <v>1</v>
      </c>
      <c r="I45" s="110" t="b">
        <f t="shared" si="38"/>
        <v>1</v>
      </c>
      <c r="J45" s="3"/>
      <c r="K45" s="109" t="str">
        <f t="shared" si="6"/>
        <v>R-need in 6th because in 7th students are expected to analyze the author's interpretation of facts;E-students are expected to apply skill as text becomes more complex; A-we can assume; L-can be used in other subjects</v>
      </c>
      <c r="L45" s="113" t="b">
        <v>0</v>
      </c>
      <c r="M45" s="3" t="str">
        <f t="shared" ref="M45:U45" si="39">if($L45=TRUE,C45,"")</f>
        <v/>
      </c>
      <c r="N45" s="3" t="str">
        <f t="shared" si="39"/>
        <v/>
      </c>
      <c r="O45" s="3" t="str">
        <f t="shared" si="39"/>
        <v/>
      </c>
      <c r="P45" s="3" t="str">
        <f t="shared" si="39"/>
        <v/>
      </c>
      <c r="Q45" s="3" t="str">
        <f t="shared" si="39"/>
        <v/>
      </c>
      <c r="R45" s="3" t="str">
        <f t="shared" si="39"/>
        <v/>
      </c>
      <c r="S45" s="3" t="str">
        <f t="shared" si="39"/>
        <v/>
      </c>
      <c r="T45" s="3" t="str">
        <f t="shared" si="39"/>
        <v/>
      </c>
      <c r="U45" s="3" t="str">
        <f t="shared" si="39"/>
        <v/>
      </c>
    </row>
    <row r="46">
      <c r="A46" s="49"/>
      <c r="B46" s="143" t="s">
        <v>156</v>
      </c>
      <c r="C46" s="146">
        <f t="shared" si="4"/>
        <v>4</v>
      </c>
      <c r="D46" s="3" t="str">
        <f t="shared" ref="D46:I46" si="40">if($C23&gt;$C$26,D23,"")</f>
        <v>RI.6.10</v>
      </c>
      <c r="E46" s="109" t="str">
        <f t="shared" si="40"/>
        <v>By the end of the year, read and comprehend literary nonfiction in the grades 6–8 text complexity band proficiently, with scaffolding as needed at the high end of the range.</v>
      </c>
      <c r="F46" s="110" t="b">
        <f t="shared" si="40"/>
        <v>1</v>
      </c>
      <c r="G46" s="110" t="b">
        <f t="shared" si="40"/>
        <v>1</v>
      </c>
      <c r="H46" s="110" t="b">
        <f t="shared" si="40"/>
        <v>1</v>
      </c>
      <c r="I46" s="110" t="b">
        <f t="shared" si="40"/>
        <v>1</v>
      </c>
      <c r="J46" s="3"/>
      <c r="K46" s="109" t="str">
        <f t="shared" si="6"/>
        <v>R-need to be proficient in order to comprehend more complex; E-need to be proficient in order to comprehendmore complex text; A-it is assessed; L-can be applied to other subjects</v>
      </c>
      <c r="L46" s="111" t="b">
        <v>0</v>
      </c>
      <c r="M46" s="3" t="str">
        <f t="shared" ref="M46:U46" si="41">if($L46=TRUE,C46,"")</f>
        <v/>
      </c>
      <c r="N46" s="3" t="str">
        <f t="shared" si="41"/>
        <v/>
      </c>
      <c r="O46" s="3" t="str">
        <f t="shared" si="41"/>
        <v/>
      </c>
      <c r="P46" s="3" t="str">
        <f t="shared" si="41"/>
        <v/>
      </c>
      <c r="Q46" s="3" t="str">
        <f t="shared" si="41"/>
        <v/>
      </c>
      <c r="R46" s="3" t="str">
        <f t="shared" si="41"/>
        <v/>
      </c>
      <c r="S46" s="3" t="str">
        <f t="shared" si="41"/>
        <v/>
      </c>
      <c r="T46" s="3" t="str">
        <f t="shared" si="41"/>
        <v/>
      </c>
      <c r="U46" s="3" t="str">
        <f t="shared" si="41"/>
        <v/>
      </c>
    </row>
  </sheetData>
  <mergeCells count="24">
    <mergeCell ref="A2:B2"/>
    <mergeCell ref="C2:K2"/>
    <mergeCell ref="A3:K3"/>
    <mergeCell ref="A4:B4"/>
    <mergeCell ref="B5:B7"/>
    <mergeCell ref="B8:B10"/>
    <mergeCell ref="B11:B12"/>
    <mergeCell ref="A5:A13"/>
    <mergeCell ref="A14:A23"/>
    <mergeCell ref="B14:B16"/>
    <mergeCell ref="B17:B19"/>
    <mergeCell ref="B20:B22"/>
    <mergeCell ref="A25:B25"/>
    <mergeCell ref="F25:G25"/>
    <mergeCell ref="B37:B39"/>
    <mergeCell ref="B40:B42"/>
    <mergeCell ref="A26:B26"/>
    <mergeCell ref="A27:B27"/>
    <mergeCell ref="A28:A36"/>
    <mergeCell ref="B28:B30"/>
    <mergeCell ref="B31:B33"/>
    <mergeCell ref="B34:B35"/>
    <mergeCell ref="A37:A46"/>
    <mergeCell ref="B43:B45"/>
  </mergeCells>
  <conditionalFormatting sqref="F28:I46">
    <cfRule type="cellIs" dxfId="0" priority="1" operator="equal">
      <formula>"TRUE"</formula>
    </cfRule>
  </conditionalFormatting>
  <conditionalFormatting sqref="F28:I46">
    <cfRule type="cellIs" dxfId="1" priority="2" operator="equal">
      <formula>"FALSE"</formula>
    </cfRule>
  </conditionalFormatting>
  <conditionalFormatting sqref="D25">
    <cfRule type="expression" dxfId="2" priority="3">
      <formula>D25&gt;K25</formula>
    </cfRule>
  </conditionalFormatting>
  <conditionalFormatting sqref="D25">
    <cfRule type="expression" dxfId="3" priority="4">
      <formula>D25&lt;=K25</formula>
    </cfRule>
  </conditionalFormatting>
  <conditionalFormatting sqref="C5:C24 C26:C46">
    <cfRule type="cellIs" dxfId="4" priority="5" operator="equal">
      <formula>0</formula>
    </cfRule>
  </conditionalFormatting>
  <conditionalFormatting sqref="C5:C24 C26:C46">
    <cfRule type="cellIs" dxfId="5" priority="6" operator="equal">
      <formula>1</formula>
    </cfRule>
  </conditionalFormatting>
  <conditionalFormatting sqref="C5:C24 C26:C46">
    <cfRule type="cellIs" dxfId="6" priority="7" operator="equal">
      <formula>2</formula>
    </cfRule>
  </conditionalFormatting>
  <conditionalFormatting sqref="C5:C24 C26:C46">
    <cfRule type="cellIs" dxfId="7" priority="8" operator="equal">
      <formula>3</formula>
    </cfRule>
  </conditionalFormatting>
  <conditionalFormatting sqref="C5:C24 C26:C46">
    <cfRule type="cellIs" dxfId="8" priority="9" operator="equal">
      <formula>4</formula>
    </cfRule>
  </conditionalFormatting>
  <drawing r:id="rId2"/>
  <legacyDrawing r:id="rId3"/>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00"/>
    <outlinePr summaryBelow="0" summaryRight="0"/>
  </sheetPr>
  <sheetViews>
    <sheetView workbookViewId="0">
      <pane xSplit="1.0" ySplit="3.0" topLeftCell="B4" activePane="bottomRight" state="frozen"/>
      <selection activeCell="B1" sqref="B1" pane="topRight"/>
      <selection activeCell="A4" sqref="A4" pane="bottomLeft"/>
      <selection activeCell="B4" sqref="B4" pane="bottomRight"/>
    </sheetView>
  </sheetViews>
  <sheetFormatPr customHeight="1" defaultColWidth="14.43" defaultRowHeight="15.75" outlineLevelCol="1"/>
  <cols>
    <col customWidth="1" min="2" max="2" width="6.14"/>
    <col collapsed="1" customWidth="1" min="3" max="3" width="10.86"/>
    <col customWidth="1" hidden="1" min="4" max="4" width="43.0" outlineLevel="1"/>
    <col customWidth="1" hidden="1" min="5" max="8" width="1.57" outlineLevel="1"/>
    <col collapsed="1" customWidth="1" min="9" max="9" width="0.86"/>
    <col customWidth="1" hidden="1" min="10" max="10" width="28.71" outlineLevel="1"/>
    <col customWidth="1" min="11" max="11" width="6.14"/>
    <col collapsed="1" customWidth="1" min="12" max="12" width="10.86"/>
    <col customWidth="1" hidden="1" min="13" max="13" width="43.0" outlineLevel="1"/>
    <col customWidth="1" hidden="1" min="14" max="17" width="1.57" outlineLevel="1"/>
    <col collapsed="1" customWidth="1" min="18" max="18" width="0.86"/>
    <col customWidth="1" hidden="1" min="19" max="19" width="28.71" outlineLevel="1"/>
    <col customWidth="1" min="20" max="20" width="6.14"/>
    <col collapsed="1" customWidth="1" min="21" max="21" width="10.86"/>
    <col customWidth="1" hidden="1" min="22" max="22" width="43.0" outlineLevel="1"/>
    <col customWidth="1" hidden="1" min="23" max="26" width="1.57" outlineLevel="1"/>
    <col collapsed="1" customWidth="1" min="27" max="27" width="0.86"/>
    <col customWidth="1" hidden="1" min="28" max="28" width="28.71" outlineLevel="1"/>
    <col customWidth="1" min="29" max="29" width="6.14"/>
    <col collapsed="1" customWidth="1" min="30" max="30" width="10.86"/>
    <col customWidth="1" hidden="1" min="31" max="31" width="43.0" outlineLevel="1"/>
    <col customWidth="1" hidden="1" min="32" max="35" width="1.57" outlineLevel="1"/>
    <col collapsed="1" customWidth="1" min="36" max="36" width="0.86"/>
    <col customWidth="1" hidden="1" min="37" max="37" width="28.71" outlineLevel="1"/>
    <col customWidth="1" min="38" max="38" width="6.14"/>
    <col collapsed="1" customWidth="1" min="39" max="39" width="10.86"/>
    <col customWidth="1" hidden="1" min="40" max="40" width="43.0" outlineLevel="1"/>
    <col customWidth="1" hidden="1" min="41" max="44" width="1.57" outlineLevel="1"/>
    <col collapsed="1" customWidth="1" min="45" max="45" width="0.86"/>
    <col customWidth="1" hidden="1" min="46" max="46" width="28.71" outlineLevel="1"/>
    <col customWidth="1" min="47" max="47" width="6.14"/>
    <col collapsed="1" customWidth="1" min="48" max="48" width="10.86"/>
    <col customWidth="1" hidden="1" min="49" max="49" width="43.0" outlineLevel="1"/>
    <col customWidth="1" hidden="1" min="50" max="53" width="1.57" outlineLevel="1"/>
    <col collapsed="1" customWidth="1" min="54" max="54" width="0.86"/>
    <col customWidth="1" hidden="1" min="55" max="55" width="28.71" outlineLevel="1"/>
    <col customWidth="1" min="56" max="56" width="6.14"/>
    <col collapsed="1" customWidth="1" min="57" max="57" width="10.86"/>
    <col customWidth="1" hidden="1" min="58" max="58" width="43.0" outlineLevel="1"/>
    <col customWidth="1" hidden="1" min="59" max="62" width="1.57" outlineLevel="1"/>
    <col collapsed="1" customWidth="1" min="63" max="63" width="0.86"/>
    <col customWidth="1" hidden="1" min="64" max="64" width="28.71" outlineLevel="1"/>
  </cols>
  <sheetData>
    <row r="1">
      <c r="A1" s="154" t="s">
        <v>486</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row>
    <row r="2">
      <c r="A2" s="156"/>
      <c r="B2" s="157" t="s">
        <v>497</v>
      </c>
      <c r="C2" s="104"/>
      <c r="D2" s="104"/>
      <c r="E2" s="104"/>
      <c r="F2" s="104"/>
      <c r="G2" s="104"/>
      <c r="H2" s="104"/>
      <c r="I2" s="104"/>
      <c r="J2" s="20"/>
      <c r="K2" s="158" t="s">
        <v>502</v>
      </c>
      <c r="T2" s="158" t="s">
        <v>505</v>
      </c>
      <c r="AC2" s="158" t="s">
        <v>506</v>
      </c>
      <c r="AL2" s="158" t="s">
        <v>508</v>
      </c>
      <c r="AU2" s="158" t="s">
        <v>510</v>
      </c>
      <c r="BD2" s="158" t="s">
        <v>511</v>
      </c>
    </row>
    <row r="3">
      <c r="A3" s="159" t="s">
        <v>8</v>
      </c>
      <c r="B3" s="160" t="s">
        <v>521</v>
      </c>
      <c r="C3" s="156" t="s">
        <v>527</v>
      </c>
      <c r="D3" s="161" t="s">
        <v>11</v>
      </c>
      <c r="E3" s="161" t="s">
        <v>13</v>
      </c>
      <c r="F3" s="161" t="s">
        <v>14</v>
      </c>
      <c r="G3" s="161" t="s">
        <v>15</v>
      </c>
      <c r="H3" s="161" t="s">
        <v>16</v>
      </c>
      <c r="I3" s="162"/>
      <c r="J3" s="163" t="s">
        <v>17</v>
      </c>
      <c r="K3" s="164" t="s">
        <v>521</v>
      </c>
      <c r="L3" s="166" t="s">
        <v>527</v>
      </c>
      <c r="M3" s="167" t="s">
        <v>11</v>
      </c>
      <c r="N3" s="167" t="s">
        <v>13</v>
      </c>
      <c r="O3" s="167" t="s">
        <v>14</v>
      </c>
      <c r="P3" s="167" t="s">
        <v>15</v>
      </c>
      <c r="Q3" s="167" t="s">
        <v>16</v>
      </c>
      <c r="R3" s="168"/>
      <c r="S3" s="168" t="s">
        <v>17</v>
      </c>
      <c r="T3" s="166" t="s">
        <v>521</v>
      </c>
      <c r="U3" s="166" t="s">
        <v>527</v>
      </c>
      <c r="V3" s="167" t="s">
        <v>11</v>
      </c>
      <c r="W3" s="167" t="s">
        <v>13</v>
      </c>
      <c r="X3" s="167" t="s">
        <v>14</v>
      </c>
      <c r="Y3" s="167" t="s">
        <v>15</v>
      </c>
      <c r="Z3" s="167" t="s">
        <v>16</v>
      </c>
      <c r="AA3" s="168"/>
      <c r="AB3" s="168" t="s">
        <v>17</v>
      </c>
      <c r="AC3" s="166" t="s">
        <v>521</v>
      </c>
      <c r="AD3" s="166" t="s">
        <v>527</v>
      </c>
      <c r="AE3" s="167" t="s">
        <v>11</v>
      </c>
      <c r="AF3" s="167" t="s">
        <v>13</v>
      </c>
      <c r="AG3" s="167" t="s">
        <v>14</v>
      </c>
      <c r="AH3" s="167" t="s">
        <v>15</v>
      </c>
      <c r="AI3" s="167" t="s">
        <v>16</v>
      </c>
      <c r="AJ3" s="168"/>
      <c r="AK3" s="168" t="s">
        <v>17</v>
      </c>
      <c r="AL3" s="166" t="s">
        <v>521</v>
      </c>
      <c r="AM3" s="166" t="s">
        <v>527</v>
      </c>
      <c r="AN3" s="167" t="s">
        <v>11</v>
      </c>
      <c r="AO3" s="167" t="s">
        <v>13</v>
      </c>
      <c r="AP3" s="167" t="s">
        <v>14</v>
      </c>
      <c r="AQ3" s="167" t="s">
        <v>15</v>
      </c>
      <c r="AR3" s="167" t="s">
        <v>16</v>
      </c>
      <c r="AS3" s="168"/>
      <c r="AT3" s="168" t="s">
        <v>17</v>
      </c>
      <c r="AU3" s="166" t="s">
        <v>521</v>
      </c>
      <c r="AV3" s="166" t="s">
        <v>527</v>
      </c>
      <c r="AW3" s="167" t="s">
        <v>11</v>
      </c>
      <c r="AX3" s="167" t="s">
        <v>13</v>
      </c>
      <c r="AY3" s="167" t="s">
        <v>14</v>
      </c>
      <c r="AZ3" s="167" t="s">
        <v>15</v>
      </c>
      <c r="BA3" s="167" t="s">
        <v>16</v>
      </c>
      <c r="BB3" s="168"/>
      <c r="BC3" s="168" t="s">
        <v>17</v>
      </c>
      <c r="BD3" s="166" t="s">
        <v>521</v>
      </c>
      <c r="BE3" s="166" t="s">
        <v>527</v>
      </c>
      <c r="BF3" s="167" t="s">
        <v>11</v>
      </c>
      <c r="BG3" s="167" t="s">
        <v>13</v>
      </c>
      <c r="BH3" s="167" t="s">
        <v>14</v>
      </c>
      <c r="BI3" s="167" t="s">
        <v>15</v>
      </c>
      <c r="BJ3" s="167" t="s">
        <v>16</v>
      </c>
      <c r="BK3" s="168"/>
      <c r="BL3" s="168" t="s">
        <v>17</v>
      </c>
    </row>
    <row r="4">
      <c r="A4" s="169" t="s">
        <v>18</v>
      </c>
      <c r="B4" s="31" t="str">
        <f>IFERROR(__xludf.DUMMYFUNCTION("unique('K-R'!M45:U61)"),"")</f>
        <v/>
      </c>
      <c r="C4" s="41" t="str">
        <f>IFERROR(__xludf.DUMMYFUNCTION("""COMPUTED_VALUE"""),"")</f>
        <v/>
      </c>
      <c r="D4" s="170" t="str">
        <f>IFERROR(__xludf.DUMMYFUNCTION("""COMPUTED_VALUE"""),"")</f>
        <v/>
      </c>
      <c r="E4" s="171" t="str">
        <f>IFERROR(__xludf.DUMMYFUNCTION("""COMPUTED_VALUE"""),"")</f>
        <v/>
      </c>
      <c r="F4" s="171" t="str">
        <f>IFERROR(__xludf.DUMMYFUNCTION("""COMPUTED_VALUE"""),"")</f>
        <v/>
      </c>
      <c r="G4" s="171" t="str">
        <f>IFERROR(__xludf.DUMMYFUNCTION("""COMPUTED_VALUE"""),"")</f>
        <v/>
      </c>
      <c r="H4" s="171" t="str">
        <f>IFERROR(__xludf.DUMMYFUNCTION("""COMPUTED_VALUE"""),"")</f>
        <v/>
      </c>
      <c r="I4" s="41" t="str">
        <f>IFERROR(__xludf.DUMMYFUNCTION("""COMPUTED_VALUE"""),"")</f>
        <v/>
      </c>
      <c r="J4" s="170" t="str">
        <f>IFERROR(__xludf.DUMMYFUNCTION("""COMPUTED_VALUE"""),"")</f>
        <v/>
      </c>
      <c r="K4" s="172" t="str">
        <f>IFERROR(__xludf.DUMMYFUNCTION("unique('1-R'!M47:U65)"),"#REF!")</f>
        <v>#REF!</v>
      </c>
      <c r="L4" s="41"/>
      <c r="M4" s="170"/>
      <c r="N4" s="171"/>
      <c r="O4" s="171"/>
      <c r="P4" s="171"/>
      <c r="Q4" s="171"/>
      <c r="R4" s="41"/>
      <c r="S4" s="170"/>
      <c r="T4" s="172">
        <f>IFERROR(__xludf.DUMMYFUNCTION("unique('2-R'!M39:U49)"),4.0)</f>
        <v>4</v>
      </c>
      <c r="U4" s="41" t="str">
        <f>IFERROR(__xludf.DUMMYFUNCTION("""COMPUTED_VALUE"""),"RF.2.3")</f>
        <v>RF.2.3</v>
      </c>
      <c r="V4" s="170" t="str">
        <f>IFERROR(__xludf.DUMMYFUNCTION("""COMPUTED_VALUE"""),"Know and apply grade-level phonics and word analysis skills in decoding words")</f>
        <v>Know and apply grade-level phonics and word analysis skills in decoding words</v>
      </c>
      <c r="W4" s="171" t="b">
        <f>IFERROR(__xludf.DUMMYFUNCTION("""COMPUTED_VALUE"""),TRUE)</f>
        <v>1</v>
      </c>
      <c r="X4" s="171" t="b">
        <f>IFERROR(__xludf.DUMMYFUNCTION("""COMPUTED_VALUE"""),TRUE)</f>
        <v>1</v>
      </c>
      <c r="Y4" s="171" t="b">
        <f>IFERROR(__xludf.DUMMYFUNCTION("""COMPUTED_VALUE"""),TRUE)</f>
        <v>1</v>
      </c>
      <c r="Z4" s="171" t="b">
        <f>IFERROR(__xludf.DUMMYFUNCTION("""COMPUTED_VALUE"""),TRUE)</f>
        <v>1</v>
      </c>
      <c r="AA4" s="41" t="str">
        <f>IFERROR(__xludf.DUMMYFUNCTION("""COMPUTED_VALUE"""),"")</f>
        <v/>
      </c>
      <c r="AB4" s="170" t="str">
        <f>IFERROR(__xludf.DUMMYFUNCTION("""COMPUTED_VALUE"""),"R-foundational for reading E-reading goes across every area
A- assessments require reading and through istation
L- applied in all subjects")</f>
        <v>R-foundational for reading E-reading goes across every area
A- assessments require reading and through istation
L- applied in all subjects</v>
      </c>
      <c r="AC4" s="172" t="str">
        <f>IFERROR(__xludf.DUMMYFUNCTION("unique('3-R'!M37:U45)"),"")</f>
        <v/>
      </c>
      <c r="AD4" s="41" t="str">
        <f>IFERROR(__xludf.DUMMYFUNCTION("""COMPUTED_VALUE"""),"")</f>
        <v/>
      </c>
      <c r="AE4" s="170" t="str">
        <f>IFERROR(__xludf.DUMMYFUNCTION("""COMPUTED_VALUE"""),"")</f>
        <v/>
      </c>
      <c r="AF4" s="171" t="str">
        <f>IFERROR(__xludf.DUMMYFUNCTION("""COMPUTED_VALUE"""),"")</f>
        <v/>
      </c>
      <c r="AG4" s="171" t="str">
        <f>IFERROR(__xludf.DUMMYFUNCTION("""COMPUTED_VALUE"""),"")</f>
        <v/>
      </c>
      <c r="AH4" s="171" t="str">
        <f>IFERROR(__xludf.DUMMYFUNCTION("""COMPUTED_VALUE"""),"")</f>
        <v/>
      </c>
      <c r="AI4" s="171" t="str">
        <f>IFERROR(__xludf.DUMMYFUNCTION("""COMPUTED_VALUE"""),"")</f>
        <v/>
      </c>
      <c r="AJ4" s="41" t="str">
        <f>IFERROR(__xludf.DUMMYFUNCTION("""COMPUTED_VALUE"""),"")</f>
        <v/>
      </c>
      <c r="AK4" s="170" t="str">
        <f>IFERROR(__xludf.DUMMYFUNCTION("""COMPUTED_VALUE"""),"")</f>
        <v/>
      </c>
      <c r="AL4" s="172" t="str">
        <f>IFERROR(__xludf.DUMMYFUNCTION("unique('4-R'!M34:U39)"),"")</f>
        <v/>
      </c>
      <c r="AM4" s="41" t="str">
        <f>IFERROR(__xludf.DUMMYFUNCTION("""COMPUTED_VALUE"""),"")</f>
        <v/>
      </c>
      <c r="AN4" s="170" t="str">
        <f>IFERROR(__xludf.DUMMYFUNCTION("""COMPUTED_VALUE"""),"")</f>
        <v/>
      </c>
      <c r="AO4" s="171" t="str">
        <f>IFERROR(__xludf.DUMMYFUNCTION("""COMPUTED_VALUE"""),"")</f>
        <v/>
      </c>
      <c r="AP4" s="171" t="str">
        <f>IFERROR(__xludf.DUMMYFUNCTION("""COMPUTED_VALUE"""),"")</f>
        <v/>
      </c>
      <c r="AQ4" s="171" t="str">
        <f>IFERROR(__xludf.DUMMYFUNCTION("""COMPUTED_VALUE"""),"")</f>
        <v/>
      </c>
      <c r="AR4" s="171" t="str">
        <f>IFERROR(__xludf.DUMMYFUNCTION("""COMPUTED_VALUE"""),"")</f>
        <v/>
      </c>
      <c r="AS4" s="41" t="str">
        <f>IFERROR(__xludf.DUMMYFUNCTION("""COMPUTED_VALUE"""),"")</f>
        <v/>
      </c>
      <c r="AT4" s="170" t="str">
        <f>IFERROR(__xludf.DUMMYFUNCTION("""COMPUTED_VALUE"""),"")</f>
        <v/>
      </c>
      <c r="AU4" s="172" t="str">
        <f>IFERROR(__xludf.DUMMYFUNCTION("unique('5-R'!M34:U39)"),"")</f>
        <v/>
      </c>
      <c r="AV4" s="41" t="str">
        <f>IFERROR(__xludf.DUMMYFUNCTION("""COMPUTED_VALUE"""),"")</f>
        <v/>
      </c>
      <c r="AW4" s="170" t="str">
        <f>IFERROR(__xludf.DUMMYFUNCTION("""COMPUTED_VALUE"""),"")</f>
        <v/>
      </c>
      <c r="AX4" s="171" t="str">
        <f>IFERROR(__xludf.DUMMYFUNCTION("""COMPUTED_VALUE"""),"")</f>
        <v/>
      </c>
      <c r="AY4" s="171" t="str">
        <f>IFERROR(__xludf.DUMMYFUNCTION("""COMPUTED_VALUE"""),"")</f>
        <v/>
      </c>
      <c r="AZ4" s="171" t="str">
        <f>IFERROR(__xludf.DUMMYFUNCTION("""COMPUTED_VALUE"""),"")</f>
        <v/>
      </c>
      <c r="BA4" s="171" t="str">
        <f>IFERROR(__xludf.DUMMYFUNCTION("""COMPUTED_VALUE"""),"")</f>
        <v/>
      </c>
      <c r="BB4" s="41" t="str">
        <f>IFERROR(__xludf.DUMMYFUNCTION("""COMPUTED_VALUE"""),"")</f>
        <v/>
      </c>
      <c r="BC4" s="170" t="str">
        <f>IFERROR(__xludf.DUMMYFUNCTION("""COMPUTED_VALUE"""),"")</f>
        <v/>
      </c>
      <c r="BD4" s="173"/>
      <c r="BE4" s="41"/>
      <c r="BF4" s="170"/>
      <c r="BG4" s="171"/>
      <c r="BH4" s="171"/>
      <c r="BI4" s="171"/>
      <c r="BJ4" s="171"/>
      <c r="BK4" s="41"/>
      <c r="BL4" s="170"/>
    </row>
    <row r="5">
      <c r="A5" s="42"/>
      <c r="B5" s="31"/>
      <c r="C5" s="41"/>
      <c r="D5" s="170"/>
      <c r="E5" s="171"/>
      <c r="F5" s="171"/>
      <c r="G5" s="171"/>
      <c r="H5" s="171"/>
      <c r="I5" s="41"/>
      <c r="J5" s="170"/>
      <c r="K5" s="172"/>
      <c r="L5" s="41"/>
      <c r="M5" s="170"/>
      <c r="N5" s="171"/>
      <c r="O5" s="171"/>
      <c r="P5" s="171"/>
      <c r="Q5" s="171"/>
      <c r="R5" s="41"/>
      <c r="S5" s="170"/>
      <c r="T5" s="172">
        <f>IFERROR(__xludf.DUMMYFUNCTION("""COMPUTED_VALUE"""),4.0)</f>
        <v>4</v>
      </c>
      <c r="U5" s="41" t="str">
        <f>IFERROR(__xludf.DUMMYFUNCTION("""COMPUTED_VALUE"""),"RF.2.3a")</f>
        <v>RF.2.3a</v>
      </c>
      <c r="V5" s="170" t="str">
        <f>IFERROR(__xludf.DUMMYFUNCTION("""COMPUTED_VALUE"""),"Distinguish long and short vowels when reading regularly spelled onesyllable words.")</f>
        <v>Distinguish long and short vowels when reading regularly spelled onesyllable words.</v>
      </c>
      <c r="W5" s="171" t="b">
        <f>IFERROR(__xludf.DUMMYFUNCTION("""COMPUTED_VALUE"""),TRUE)</f>
        <v>1</v>
      </c>
      <c r="X5" s="171" t="b">
        <f>IFERROR(__xludf.DUMMYFUNCTION("""COMPUTED_VALUE"""),TRUE)</f>
        <v>1</v>
      </c>
      <c r="Y5" s="171" t="b">
        <f>IFERROR(__xludf.DUMMYFUNCTION("""COMPUTED_VALUE"""),TRUE)</f>
        <v>1</v>
      </c>
      <c r="Z5" s="171" t="b">
        <f>IFERROR(__xludf.DUMMYFUNCTION("""COMPUTED_VALUE"""),TRUE)</f>
        <v>1</v>
      </c>
      <c r="AA5" s="41" t="str">
        <f>IFERROR(__xludf.DUMMYFUNCTION("""COMPUTED_VALUE"""),"")</f>
        <v/>
      </c>
      <c r="AB5" s="170" t="str">
        <f>IFERROR(__xludf.DUMMYFUNCTION("""COMPUTED_VALUE"""),"R-foundational for reading E-reading goes across every area
A- assessments require reading and through istation
L- applied in all subjects")</f>
        <v>R-foundational for reading E-reading goes across every area
A- assessments require reading and through istation
L- applied in all subjects</v>
      </c>
      <c r="AC5" s="172" t="str">
        <f>IFERROR(__xludf.DUMMYFUNCTION("""COMPUTED_VALUE"""),"")</f>
        <v/>
      </c>
      <c r="AD5" s="41" t="str">
        <f>IFERROR(__xludf.DUMMYFUNCTION("""COMPUTED_VALUE"""),"")</f>
        <v/>
      </c>
      <c r="AE5" s="170" t="str">
        <f>IFERROR(__xludf.DUMMYFUNCTION("""COMPUTED_VALUE"""),"")</f>
        <v/>
      </c>
      <c r="AF5" s="171" t="str">
        <f>IFERROR(__xludf.DUMMYFUNCTION("""COMPUTED_VALUE"""),"")</f>
        <v/>
      </c>
      <c r="AG5" s="171" t="str">
        <f>IFERROR(__xludf.DUMMYFUNCTION("""COMPUTED_VALUE"""),"")</f>
        <v/>
      </c>
      <c r="AH5" s="171" t="str">
        <f>IFERROR(__xludf.DUMMYFUNCTION("""COMPUTED_VALUE"""),"")</f>
        <v/>
      </c>
      <c r="AI5" s="171" t="str">
        <f>IFERROR(__xludf.DUMMYFUNCTION("""COMPUTED_VALUE"""),"")</f>
        <v/>
      </c>
      <c r="AJ5" s="41" t="str">
        <f>IFERROR(__xludf.DUMMYFUNCTION("""COMPUTED_VALUE"""),"")</f>
        <v/>
      </c>
      <c r="AK5" s="170" t="str">
        <f>IFERROR(__xludf.DUMMYFUNCTION("""COMPUTED_VALUE"""),"")</f>
        <v/>
      </c>
      <c r="AL5" s="172"/>
      <c r="AM5" s="41"/>
      <c r="AN5" s="170"/>
      <c r="AO5" s="171"/>
      <c r="AP5" s="171"/>
      <c r="AQ5" s="171"/>
      <c r="AR5" s="171"/>
      <c r="AS5" s="41"/>
      <c r="AT5" s="170"/>
      <c r="AU5" s="172"/>
      <c r="AV5" s="41"/>
      <c r="AW5" s="170"/>
      <c r="AX5" s="171"/>
      <c r="AY5" s="171"/>
      <c r="AZ5" s="171"/>
      <c r="BA5" s="171"/>
      <c r="BB5" s="41"/>
      <c r="BC5" s="170"/>
      <c r="BD5" s="172"/>
      <c r="BE5" s="41"/>
      <c r="BF5" s="170"/>
      <c r="BG5" s="171"/>
      <c r="BH5" s="171"/>
      <c r="BI5" s="171"/>
      <c r="BJ5" s="171"/>
      <c r="BK5" s="41"/>
      <c r="BL5" s="170"/>
    </row>
    <row r="6">
      <c r="A6" s="42"/>
      <c r="B6" s="31"/>
      <c r="C6" s="41"/>
      <c r="D6" s="170"/>
      <c r="E6" s="171"/>
      <c r="F6" s="171"/>
      <c r="G6" s="171"/>
      <c r="H6" s="171"/>
      <c r="I6" s="41"/>
      <c r="J6" s="170"/>
      <c r="K6" s="172"/>
      <c r="L6" s="41"/>
      <c r="M6" s="170"/>
      <c r="N6" s="171"/>
      <c r="O6" s="171"/>
      <c r="P6" s="171"/>
      <c r="Q6" s="171"/>
      <c r="R6" s="41"/>
      <c r="S6" s="170"/>
      <c r="T6" s="172">
        <f>IFERROR(__xludf.DUMMYFUNCTION("""COMPUTED_VALUE"""),4.0)</f>
        <v>4</v>
      </c>
      <c r="U6" s="41" t="str">
        <f>IFERROR(__xludf.DUMMYFUNCTION("""COMPUTED_VALUE"""),"RF.2.3b")</f>
        <v>RF.2.3b</v>
      </c>
      <c r="V6" s="170" t="str">
        <f>IFERROR(__xludf.DUMMYFUNCTION("""COMPUTED_VALUE"""),"Know spelling-sound correspondences for additional common vowel teams.")</f>
        <v>Know spelling-sound correspondences for additional common vowel teams.</v>
      </c>
      <c r="W6" s="171" t="b">
        <f>IFERROR(__xludf.DUMMYFUNCTION("""COMPUTED_VALUE"""),TRUE)</f>
        <v>1</v>
      </c>
      <c r="X6" s="171" t="b">
        <f>IFERROR(__xludf.DUMMYFUNCTION("""COMPUTED_VALUE"""),TRUE)</f>
        <v>1</v>
      </c>
      <c r="Y6" s="171" t="b">
        <f>IFERROR(__xludf.DUMMYFUNCTION("""COMPUTED_VALUE"""),TRUE)</f>
        <v>1</v>
      </c>
      <c r="Z6" s="171" t="b">
        <f>IFERROR(__xludf.DUMMYFUNCTION("""COMPUTED_VALUE"""),TRUE)</f>
        <v>1</v>
      </c>
      <c r="AA6" s="41" t="str">
        <f>IFERROR(__xludf.DUMMYFUNCTION("""COMPUTED_VALUE"""),"")</f>
        <v/>
      </c>
      <c r="AB6" s="170" t="str">
        <f>IFERROR(__xludf.DUMMYFUNCTION("""COMPUTED_VALUE"""),"R-foundational for reading E-reading goes across every area")</f>
        <v>R-foundational for reading E-reading goes across every area</v>
      </c>
      <c r="AC6" s="172"/>
      <c r="AD6" s="41"/>
      <c r="AE6" s="170"/>
      <c r="AF6" s="171"/>
      <c r="AG6" s="171"/>
      <c r="AH6" s="171"/>
      <c r="AI6" s="171"/>
      <c r="AJ6" s="41"/>
      <c r="AK6" s="170"/>
      <c r="AL6" s="172"/>
      <c r="AM6" s="41"/>
      <c r="AN6" s="170"/>
      <c r="AO6" s="171"/>
      <c r="AP6" s="171"/>
      <c r="AQ6" s="171"/>
      <c r="AR6" s="171"/>
      <c r="AS6" s="41"/>
      <c r="AT6" s="170"/>
      <c r="AU6" s="172"/>
      <c r="AV6" s="41"/>
      <c r="AW6" s="170"/>
      <c r="AX6" s="171"/>
      <c r="AY6" s="171"/>
      <c r="AZ6" s="171"/>
      <c r="BA6" s="171"/>
      <c r="BB6" s="41"/>
      <c r="BC6" s="170"/>
      <c r="BD6" s="172"/>
      <c r="BE6" s="41"/>
      <c r="BF6" s="170"/>
      <c r="BG6" s="171"/>
      <c r="BH6" s="171"/>
      <c r="BI6" s="171"/>
      <c r="BJ6" s="171"/>
      <c r="BK6" s="41"/>
      <c r="BL6" s="170"/>
    </row>
    <row r="7">
      <c r="A7" s="42"/>
      <c r="B7" s="31"/>
      <c r="C7" s="41"/>
      <c r="D7" s="170"/>
      <c r="E7" s="171"/>
      <c r="F7" s="171"/>
      <c r="G7" s="171"/>
      <c r="H7" s="171"/>
      <c r="I7" s="41"/>
      <c r="J7" s="170"/>
      <c r="K7" s="172"/>
      <c r="L7" s="41"/>
      <c r="M7" s="170"/>
      <c r="N7" s="171"/>
      <c r="O7" s="171"/>
      <c r="P7" s="171"/>
      <c r="Q7" s="171"/>
      <c r="R7" s="41"/>
      <c r="S7" s="170"/>
      <c r="T7" s="172">
        <f>IFERROR(__xludf.DUMMYFUNCTION("""COMPUTED_VALUE"""),4.0)</f>
        <v>4</v>
      </c>
      <c r="U7" s="41" t="str">
        <f>IFERROR(__xludf.DUMMYFUNCTION("""COMPUTED_VALUE"""),"RF.2.3c")</f>
        <v>RF.2.3c</v>
      </c>
      <c r="V7" s="170" t="str">
        <f>IFERROR(__xludf.DUMMYFUNCTION("""COMPUTED_VALUE"""),"Decode regularly spelled two-syllable words with long vowels.")</f>
        <v>Decode regularly spelled two-syllable words with long vowels.</v>
      </c>
      <c r="W7" s="171" t="b">
        <f>IFERROR(__xludf.DUMMYFUNCTION("""COMPUTED_VALUE"""),TRUE)</f>
        <v>1</v>
      </c>
      <c r="X7" s="171" t="b">
        <f>IFERROR(__xludf.DUMMYFUNCTION("""COMPUTED_VALUE"""),TRUE)</f>
        <v>1</v>
      </c>
      <c r="Y7" s="171" t="b">
        <f>IFERROR(__xludf.DUMMYFUNCTION("""COMPUTED_VALUE"""),TRUE)</f>
        <v>1</v>
      </c>
      <c r="Z7" s="171" t="b">
        <f>IFERROR(__xludf.DUMMYFUNCTION("""COMPUTED_VALUE"""),TRUE)</f>
        <v>1</v>
      </c>
      <c r="AA7" s="41" t="str">
        <f>IFERROR(__xludf.DUMMYFUNCTION("""COMPUTED_VALUE"""),"")</f>
        <v/>
      </c>
      <c r="AB7" s="170" t="str">
        <f>IFERROR(__xludf.DUMMYFUNCTION("""COMPUTED_VALUE"""),"A- assessments require reading and through istation")</f>
        <v>A- assessments require reading and through istation</v>
      </c>
      <c r="AC7" s="172"/>
      <c r="AD7" s="41"/>
      <c r="AE7" s="170"/>
      <c r="AF7" s="171"/>
      <c r="AG7" s="171"/>
      <c r="AH7" s="171"/>
      <c r="AI7" s="171"/>
      <c r="AJ7" s="41"/>
      <c r="AK7" s="170"/>
      <c r="AL7" s="172"/>
      <c r="AM7" s="41"/>
      <c r="AN7" s="170"/>
      <c r="AO7" s="171"/>
      <c r="AP7" s="171"/>
      <c r="AQ7" s="171"/>
      <c r="AR7" s="171"/>
      <c r="AS7" s="41"/>
      <c r="AT7" s="170"/>
      <c r="AU7" s="172"/>
      <c r="AV7" s="41"/>
      <c r="AW7" s="170"/>
      <c r="AX7" s="171"/>
      <c r="AY7" s="171"/>
      <c r="AZ7" s="171"/>
      <c r="BA7" s="171"/>
      <c r="BB7" s="41"/>
      <c r="BC7" s="170"/>
      <c r="BD7" s="172"/>
      <c r="BE7" s="41"/>
      <c r="BF7" s="170"/>
      <c r="BG7" s="171"/>
      <c r="BH7" s="171"/>
      <c r="BI7" s="171"/>
      <c r="BJ7" s="171"/>
      <c r="BK7" s="41"/>
      <c r="BL7" s="170"/>
    </row>
    <row r="8">
      <c r="A8" s="42"/>
      <c r="B8" s="31"/>
      <c r="C8" s="41"/>
      <c r="D8" s="170"/>
      <c r="E8" s="171"/>
      <c r="F8" s="171"/>
      <c r="G8" s="171"/>
      <c r="H8" s="171"/>
      <c r="I8" s="41"/>
      <c r="J8" s="170"/>
      <c r="K8" s="172"/>
      <c r="L8" s="41"/>
      <c r="M8" s="170"/>
      <c r="N8" s="171"/>
      <c r="O8" s="171"/>
      <c r="P8" s="171"/>
      <c r="Q8" s="171"/>
      <c r="R8" s="41"/>
      <c r="S8" s="170"/>
      <c r="T8" s="172" t="str">
        <f>IFERROR(__xludf.DUMMYFUNCTION("""COMPUTED_VALUE"""),"")</f>
        <v/>
      </c>
      <c r="U8" s="41" t="str">
        <f>IFERROR(__xludf.DUMMYFUNCTION("""COMPUTED_VALUE"""),"")</f>
        <v/>
      </c>
      <c r="V8" s="170" t="str">
        <f>IFERROR(__xludf.DUMMYFUNCTION("""COMPUTED_VALUE"""),"")</f>
        <v/>
      </c>
      <c r="W8" s="171" t="str">
        <f>IFERROR(__xludf.DUMMYFUNCTION("""COMPUTED_VALUE"""),"")</f>
        <v/>
      </c>
      <c r="X8" s="171" t="str">
        <f>IFERROR(__xludf.DUMMYFUNCTION("""COMPUTED_VALUE"""),"")</f>
        <v/>
      </c>
      <c r="Y8" s="171" t="str">
        <f>IFERROR(__xludf.DUMMYFUNCTION("""COMPUTED_VALUE"""),"")</f>
        <v/>
      </c>
      <c r="Z8" s="171" t="str">
        <f>IFERROR(__xludf.DUMMYFUNCTION("""COMPUTED_VALUE"""),"")</f>
        <v/>
      </c>
      <c r="AA8" s="41" t="str">
        <f>IFERROR(__xludf.DUMMYFUNCTION("""COMPUTED_VALUE"""),"")</f>
        <v/>
      </c>
      <c r="AB8" s="170" t="str">
        <f>IFERROR(__xludf.DUMMYFUNCTION("""COMPUTED_VALUE"""),"")</f>
        <v/>
      </c>
      <c r="AC8" s="172"/>
      <c r="AD8" s="41"/>
      <c r="AE8" s="170"/>
      <c r="AF8" s="171"/>
      <c r="AG8" s="171"/>
      <c r="AH8" s="171"/>
      <c r="AI8" s="171"/>
      <c r="AJ8" s="41"/>
      <c r="AK8" s="170"/>
      <c r="AL8" s="172"/>
      <c r="AM8" s="41"/>
      <c r="AN8" s="170"/>
      <c r="AO8" s="171"/>
      <c r="AP8" s="171"/>
      <c r="AQ8" s="171"/>
      <c r="AR8" s="171"/>
      <c r="AS8" s="41"/>
      <c r="AT8" s="170"/>
      <c r="AU8" s="172"/>
      <c r="AV8" s="41"/>
      <c r="AW8" s="170"/>
      <c r="AX8" s="171"/>
      <c r="AY8" s="171"/>
      <c r="AZ8" s="171"/>
      <c r="BA8" s="171"/>
      <c r="BB8" s="41"/>
      <c r="BC8" s="170"/>
      <c r="BD8" s="172"/>
      <c r="BE8" s="41"/>
      <c r="BF8" s="170"/>
      <c r="BG8" s="171"/>
      <c r="BH8" s="171"/>
      <c r="BI8" s="171"/>
      <c r="BJ8" s="171"/>
      <c r="BK8" s="41"/>
      <c r="BL8" s="170"/>
    </row>
    <row r="9">
      <c r="A9" s="42"/>
      <c r="B9" s="31"/>
      <c r="C9" s="41"/>
      <c r="D9" s="170"/>
      <c r="E9" s="171"/>
      <c r="F9" s="171"/>
      <c r="G9" s="171"/>
      <c r="H9" s="171"/>
      <c r="I9" s="41"/>
      <c r="J9" s="170"/>
      <c r="K9" s="172"/>
      <c r="L9" s="41"/>
      <c r="M9" s="170"/>
      <c r="N9" s="171"/>
      <c r="O9" s="171"/>
      <c r="P9" s="171"/>
      <c r="Q9" s="171"/>
      <c r="R9" s="41"/>
      <c r="S9" s="170"/>
      <c r="T9" s="172"/>
      <c r="U9" s="41"/>
      <c r="V9" s="170"/>
      <c r="W9" s="171"/>
      <c r="X9" s="171"/>
      <c r="Y9" s="171"/>
      <c r="Z9" s="171"/>
      <c r="AA9" s="41"/>
      <c r="AB9" s="170"/>
      <c r="AC9" s="172"/>
      <c r="AD9" s="41"/>
      <c r="AE9" s="170"/>
      <c r="AF9" s="171"/>
      <c r="AG9" s="171"/>
      <c r="AH9" s="171"/>
      <c r="AI9" s="171"/>
      <c r="AJ9" s="41"/>
      <c r="AK9" s="170"/>
      <c r="AL9" s="172"/>
      <c r="AM9" s="41"/>
      <c r="AN9" s="170"/>
      <c r="AO9" s="171"/>
      <c r="AP9" s="171"/>
      <c r="AQ9" s="171"/>
      <c r="AR9" s="171"/>
      <c r="AS9" s="41"/>
      <c r="AT9" s="170"/>
      <c r="AU9" s="172"/>
      <c r="AV9" s="41"/>
      <c r="AW9" s="170"/>
      <c r="AX9" s="171"/>
      <c r="AY9" s="171"/>
      <c r="AZ9" s="171"/>
      <c r="BA9" s="171"/>
      <c r="BB9" s="41"/>
      <c r="BC9" s="170"/>
      <c r="BD9" s="172"/>
      <c r="BE9" s="41"/>
      <c r="BF9" s="170"/>
      <c r="BG9" s="171"/>
      <c r="BH9" s="171"/>
      <c r="BI9" s="171"/>
      <c r="BJ9" s="171"/>
      <c r="BK9" s="41"/>
      <c r="BL9" s="170"/>
    </row>
    <row r="10">
      <c r="A10" s="42"/>
      <c r="B10" s="31"/>
      <c r="C10" s="41"/>
      <c r="D10" s="170"/>
      <c r="E10" s="171"/>
      <c r="F10" s="171"/>
      <c r="G10" s="171"/>
      <c r="H10" s="171"/>
      <c r="I10" s="41"/>
      <c r="J10" s="170"/>
      <c r="K10" s="172"/>
      <c r="L10" s="41"/>
      <c r="M10" s="170"/>
      <c r="N10" s="171"/>
      <c r="O10" s="171"/>
      <c r="P10" s="171"/>
      <c r="Q10" s="171"/>
      <c r="R10" s="41"/>
      <c r="S10" s="170"/>
      <c r="T10" s="172"/>
      <c r="U10" s="41"/>
      <c r="V10" s="170"/>
      <c r="W10" s="171"/>
      <c r="X10" s="171"/>
      <c r="Y10" s="171"/>
      <c r="Z10" s="171"/>
      <c r="AA10" s="41"/>
      <c r="AB10" s="170"/>
      <c r="AC10" s="172"/>
      <c r="AD10" s="41"/>
      <c r="AE10" s="170"/>
      <c r="AF10" s="171"/>
      <c r="AG10" s="171"/>
      <c r="AH10" s="171"/>
      <c r="AI10" s="171"/>
      <c r="AJ10" s="41"/>
      <c r="AK10" s="170"/>
      <c r="AL10" s="172"/>
      <c r="AM10" s="41"/>
      <c r="AN10" s="170"/>
      <c r="AO10" s="171"/>
      <c r="AP10" s="171"/>
      <c r="AQ10" s="171"/>
      <c r="AR10" s="171"/>
      <c r="AS10" s="41"/>
      <c r="AT10" s="170"/>
      <c r="AU10" s="172"/>
      <c r="AV10" s="41"/>
      <c r="AW10" s="170"/>
      <c r="AX10" s="171"/>
      <c r="AY10" s="171"/>
      <c r="AZ10" s="171"/>
      <c r="BA10" s="171"/>
      <c r="BB10" s="41"/>
      <c r="BC10" s="170"/>
      <c r="BD10" s="172"/>
      <c r="BE10" s="41"/>
      <c r="BF10" s="170"/>
      <c r="BG10" s="171"/>
      <c r="BH10" s="171"/>
      <c r="BI10" s="171"/>
      <c r="BJ10" s="171"/>
      <c r="BK10" s="41"/>
      <c r="BL10" s="170"/>
    </row>
    <row r="11">
      <c r="A11" s="42"/>
      <c r="B11" s="31"/>
      <c r="C11" s="41"/>
      <c r="D11" s="170"/>
      <c r="E11" s="171"/>
      <c r="F11" s="171"/>
      <c r="G11" s="171"/>
      <c r="H11" s="171"/>
      <c r="I11" s="41"/>
      <c r="J11" s="170"/>
      <c r="K11" s="172"/>
      <c r="L11" s="41"/>
      <c r="M11" s="170"/>
      <c r="N11" s="171"/>
      <c r="O11" s="171"/>
      <c r="P11" s="171"/>
      <c r="Q11" s="171"/>
      <c r="R11" s="41"/>
      <c r="S11" s="170"/>
      <c r="T11" s="172"/>
      <c r="U11" s="41"/>
      <c r="V11" s="170"/>
      <c r="W11" s="171"/>
      <c r="X11" s="171"/>
      <c r="Y11" s="171"/>
      <c r="Z11" s="171"/>
      <c r="AA11" s="41"/>
      <c r="AB11" s="170"/>
      <c r="AC11" s="172"/>
      <c r="AD11" s="41"/>
      <c r="AE11" s="170"/>
      <c r="AF11" s="171"/>
      <c r="AG11" s="171"/>
      <c r="AH11" s="171"/>
      <c r="AI11" s="171"/>
      <c r="AJ11" s="41"/>
      <c r="AK11" s="170"/>
      <c r="AL11" s="172"/>
      <c r="AM11" s="41"/>
      <c r="AN11" s="170"/>
      <c r="AO11" s="171"/>
      <c r="AP11" s="171"/>
      <c r="AQ11" s="171"/>
      <c r="AR11" s="171"/>
      <c r="AS11" s="41"/>
      <c r="AT11" s="170"/>
      <c r="AU11" s="172"/>
      <c r="AV11" s="41"/>
      <c r="AW11" s="170"/>
      <c r="AX11" s="171"/>
      <c r="AY11" s="171"/>
      <c r="AZ11" s="171"/>
      <c r="BA11" s="171"/>
      <c r="BB11" s="41"/>
      <c r="BC11" s="170"/>
      <c r="BD11" s="172"/>
      <c r="BE11" s="41"/>
      <c r="BF11" s="170"/>
      <c r="BG11" s="171"/>
      <c r="BH11" s="171"/>
      <c r="BI11" s="171"/>
      <c r="BJ11" s="171"/>
      <c r="BK11" s="41"/>
      <c r="BL11" s="170"/>
    </row>
    <row r="12">
      <c r="A12" s="49"/>
      <c r="B12" s="50"/>
      <c r="C12" s="52"/>
      <c r="D12" s="174"/>
      <c r="E12" s="175"/>
      <c r="F12" s="175"/>
      <c r="G12" s="175"/>
      <c r="H12" s="175"/>
      <c r="I12" s="52"/>
      <c r="J12" s="174"/>
      <c r="K12" s="176"/>
      <c r="L12" s="52"/>
      <c r="M12" s="174"/>
      <c r="N12" s="175"/>
      <c r="O12" s="175"/>
      <c r="P12" s="175"/>
      <c r="Q12" s="175"/>
      <c r="R12" s="52"/>
      <c r="S12" s="174"/>
      <c r="T12" s="176"/>
      <c r="U12" s="52"/>
      <c r="V12" s="174"/>
      <c r="W12" s="175"/>
      <c r="X12" s="175"/>
      <c r="Y12" s="175"/>
      <c r="Z12" s="175"/>
      <c r="AA12" s="52"/>
      <c r="AB12" s="174"/>
      <c r="AC12" s="176"/>
      <c r="AD12" s="52"/>
      <c r="AE12" s="174"/>
      <c r="AF12" s="175"/>
      <c r="AG12" s="175"/>
      <c r="AH12" s="175"/>
      <c r="AI12" s="175"/>
      <c r="AJ12" s="52"/>
      <c r="AK12" s="174"/>
      <c r="AL12" s="176"/>
      <c r="AM12" s="52"/>
      <c r="AN12" s="174"/>
      <c r="AO12" s="175"/>
      <c r="AP12" s="175"/>
      <c r="AQ12" s="175"/>
      <c r="AR12" s="175"/>
      <c r="AS12" s="52"/>
      <c r="AT12" s="174"/>
      <c r="AU12" s="176"/>
      <c r="AV12" s="52"/>
      <c r="AW12" s="174"/>
      <c r="AX12" s="175"/>
      <c r="AY12" s="175"/>
      <c r="AZ12" s="175"/>
      <c r="BA12" s="175"/>
      <c r="BB12" s="52"/>
      <c r="BC12" s="174"/>
      <c r="BD12" s="176"/>
      <c r="BE12" s="52"/>
      <c r="BF12" s="174"/>
      <c r="BG12" s="175"/>
      <c r="BH12" s="175"/>
      <c r="BI12" s="175"/>
      <c r="BJ12" s="175"/>
      <c r="BK12" s="52"/>
      <c r="BL12" s="174"/>
    </row>
    <row r="13">
      <c r="A13" s="177" t="s">
        <v>102</v>
      </c>
      <c r="B13" s="31" t="str">
        <f>IFERROR(__xludf.DUMMYFUNCTION("unique('K-R'!M62:U70)"),"")</f>
        <v/>
      </c>
      <c r="C13" s="41" t="str">
        <f>IFERROR(__xludf.DUMMYFUNCTION("""COMPUTED_VALUE"""),"")</f>
        <v/>
      </c>
      <c r="D13" s="170" t="str">
        <f>IFERROR(__xludf.DUMMYFUNCTION("""COMPUTED_VALUE"""),"")</f>
        <v/>
      </c>
      <c r="E13" s="171" t="str">
        <f>IFERROR(__xludf.DUMMYFUNCTION("""COMPUTED_VALUE"""),"")</f>
        <v/>
      </c>
      <c r="F13" s="171" t="str">
        <f>IFERROR(__xludf.DUMMYFUNCTION("""COMPUTED_VALUE"""),"")</f>
        <v/>
      </c>
      <c r="G13" s="171" t="str">
        <f>IFERROR(__xludf.DUMMYFUNCTION("""COMPUTED_VALUE"""),"")</f>
        <v/>
      </c>
      <c r="H13" s="171" t="str">
        <f>IFERROR(__xludf.DUMMYFUNCTION("""COMPUTED_VALUE"""),"")</f>
        <v/>
      </c>
      <c r="I13" s="41" t="str">
        <f>IFERROR(__xludf.DUMMYFUNCTION("""COMPUTED_VALUE"""),"")</f>
        <v/>
      </c>
      <c r="J13" s="170" t="str">
        <f>IFERROR(__xludf.DUMMYFUNCTION("""COMPUTED_VALUE"""),"")</f>
        <v/>
      </c>
      <c r="K13" s="172" t="str">
        <f>IFERROR(__xludf.DUMMYFUNCTION("unique('1-R'!M66:U75)"),"")</f>
        <v/>
      </c>
      <c r="L13" s="41"/>
      <c r="M13" s="170"/>
      <c r="N13" s="171"/>
      <c r="O13" s="171"/>
      <c r="P13" s="171"/>
      <c r="Q13" s="171"/>
      <c r="R13" s="41"/>
      <c r="S13" s="170"/>
      <c r="T13" s="172">
        <f>IFERROR(__xludf.DUMMYFUNCTION("unique('2-R'!M50:U58)"),4.0)</f>
        <v>4</v>
      </c>
      <c r="U13" s="41" t="str">
        <f>IFERROR(__xludf.DUMMYFUNCTION("""COMPUTED_VALUE"""),"RL.2.1")</f>
        <v>RL.2.1</v>
      </c>
      <c r="V13" s="170" t="str">
        <f>IFERROR(__xludf.DUMMYFUNCTION("""COMPUTED_VALUE"""),"Ask and answer such questions as who, what, where, when, why, and how to demonstrate understanding of key details in a text.")</f>
        <v>Ask and answer such questions as who, what, where, when, why, and how to demonstrate understanding of key details in a text.</v>
      </c>
      <c r="W13" s="171" t="b">
        <f>IFERROR(__xludf.DUMMYFUNCTION("""COMPUTED_VALUE"""),TRUE)</f>
        <v>1</v>
      </c>
      <c r="X13" s="171" t="b">
        <f>IFERROR(__xludf.DUMMYFUNCTION("""COMPUTED_VALUE"""),TRUE)</f>
        <v>1</v>
      </c>
      <c r="Y13" s="171" t="b">
        <f>IFERROR(__xludf.DUMMYFUNCTION("""COMPUTED_VALUE"""),TRUE)</f>
        <v>1</v>
      </c>
      <c r="Z13" s="171" t="b">
        <f>IFERROR(__xludf.DUMMYFUNCTION("""COMPUTED_VALUE"""),TRUE)</f>
        <v>1</v>
      </c>
      <c r="AA13" s="41" t="str">
        <f>IFERROR(__xludf.DUMMYFUNCTION("""COMPUTED_VALUE"""),"")</f>
        <v/>
      </c>
      <c r="AB13" s="170" t="str">
        <f>IFERROR(__xludf.DUMMYFUNCTION("""COMPUTED_VALUE"""),"")</f>
        <v/>
      </c>
      <c r="AC13" s="172">
        <f>IFERROR(__xludf.DUMMYFUNCTION("unique('3-R'!M46:U54)"),4.0)</f>
        <v>4</v>
      </c>
      <c r="AD13" s="41" t="str">
        <f>IFERROR(__xludf.DUMMYFUNCTION("""COMPUTED_VALUE"""),"RL.3.1")</f>
        <v>RL.3.1</v>
      </c>
      <c r="AE13" s="170" t="str">
        <f>IFERROR(__xludf.DUMMYFUNCTION("""COMPUTED_VALUE"""),"Ask and answer questions to demonstrate understanding of a text, referring explicitly to the text as the basis for the answers.")</f>
        <v>Ask and answer questions to demonstrate understanding of a text, referring explicitly to the text as the basis for the answers.</v>
      </c>
      <c r="AF13" s="171" t="b">
        <f>IFERROR(__xludf.DUMMYFUNCTION("""COMPUTED_VALUE"""),TRUE)</f>
        <v>1</v>
      </c>
      <c r="AG13" s="171" t="b">
        <f>IFERROR(__xludf.DUMMYFUNCTION("""COMPUTED_VALUE"""),TRUE)</f>
        <v>1</v>
      </c>
      <c r="AH13" s="171" t="b">
        <f>IFERROR(__xludf.DUMMYFUNCTION("""COMPUTED_VALUE"""),TRUE)</f>
        <v>1</v>
      </c>
      <c r="AI13" s="171" t="b">
        <f>IFERROR(__xludf.DUMMYFUNCTION("""COMPUTED_VALUE"""),TRUE)</f>
        <v>1</v>
      </c>
      <c r="AJ13" s="41" t="str">
        <f>IFERROR(__xludf.DUMMYFUNCTION("""COMPUTED_VALUE"""),"")</f>
        <v/>
      </c>
      <c r="AK13" s="170" t="str">
        <f>IFERROR(__xludf.DUMMYFUNCTION("""COMPUTED_VALUE"""),"R - Used in all content and grade levels
E - CONSTANT use (in life) (and test)
A - ACT Aspire, and all other tests
L - Used in SS, Science, Math")</f>
        <v>R - Used in all content and grade levels
E - CONSTANT use (in life) (and test)
A - ACT Aspire, and all other tests
L - Used in SS, Science, Math</v>
      </c>
      <c r="AL13" s="172">
        <f>IFERROR(__xludf.DUMMYFUNCTION("unique('4-R'!M40:U48)"),4.0)</f>
        <v>4</v>
      </c>
      <c r="AM13" s="41" t="str">
        <f>IFERROR(__xludf.DUMMYFUNCTION("""COMPUTED_VALUE"""),"RL.4.1")</f>
        <v>RL.4.1</v>
      </c>
      <c r="AN13" s="170" t="str">
        <f>IFERROR(__xludf.DUMMYFUNCTION("""COMPUTED_VALUE"""),"Refer to details and examples in a text when explaining what the text says explicitly and when drawing inferences from the text.")</f>
        <v>Refer to details and examples in a text when explaining what the text says explicitly and when drawing inferences from the text.</v>
      </c>
      <c r="AO13" s="171" t="b">
        <f>IFERROR(__xludf.DUMMYFUNCTION("""COMPUTED_VALUE"""),TRUE)</f>
        <v>1</v>
      </c>
      <c r="AP13" s="171" t="b">
        <f>IFERROR(__xludf.DUMMYFUNCTION("""COMPUTED_VALUE"""),TRUE)</f>
        <v>1</v>
      </c>
      <c r="AQ13" s="171" t="b">
        <f>IFERROR(__xludf.DUMMYFUNCTION("""COMPUTED_VALUE"""),TRUE)</f>
        <v>1</v>
      </c>
      <c r="AR13" s="171" t="b">
        <f>IFERROR(__xludf.DUMMYFUNCTION("""COMPUTED_VALUE"""),TRUE)</f>
        <v>1</v>
      </c>
      <c r="AS13" s="41" t="str">
        <f>IFERROR(__xludf.DUMMYFUNCTION("""COMPUTED_VALUE"""),"")</f>
        <v/>
      </c>
      <c r="AT13" s="170" t="str">
        <f>IFERROR(__xludf.DUMMYFUNCTION("""COMPUTED_VALUE"""),"R - Used in all content and grade levels, inference
E - CONSTANT use (in life) (and test)
A - ACT Aspire, and all other tests
L - Used in SS, Science, Math")</f>
        <v>R - Used in all content and grade levels, inference
E - CONSTANT use (in life) (and test)
A - ACT Aspire, and all other tests
L - Used in SS, Science, Math</v>
      </c>
      <c r="AU13" s="172">
        <f>IFERROR(__xludf.DUMMYFUNCTION("unique('5-R'!M42:U48)"),3.0)</f>
        <v>3</v>
      </c>
      <c r="AV13" s="41" t="str">
        <f>IFERROR(__xludf.DUMMYFUNCTION("""COMPUTED_VALUE"""),"RL.5.3")</f>
        <v>RL.5.3</v>
      </c>
      <c r="AW13" s="170" t="str">
        <f>IFERROR(__xludf.DUMMYFUNCTION("""COMPUTED_VALUE"""),"Compare and contrast two or more characters, settings, or events in a story or drama, drawing on specific details in the text (e.g., how characters interact).")</f>
        <v>Compare and contrast two or more characters, settings, or events in a story or drama, drawing on specific details in the text (e.g., how characters interact).</v>
      </c>
      <c r="AX13" s="171" t="b">
        <f>IFERROR(__xludf.DUMMYFUNCTION("""COMPUTED_VALUE"""),TRUE)</f>
        <v>1</v>
      </c>
      <c r="AY13" s="171" t="b">
        <f>IFERROR(__xludf.DUMMYFUNCTION("""COMPUTED_VALUE"""),TRUE)</f>
        <v>1</v>
      </c>
      <c r="AZ13" s="171" t="b">
        <f>IFERROR(__xludf.DUMMYFUNCTION("""COMPUTED_VALUE"""),TRUE)</f>
        <v>1</v>
      </c>
      <c r="BA13" s="171" t="b">
        <f>IFERROR(__xludf.DUMMYFUNCTION("""COMPUTED_VALUE"""),FALSE)</f>
        <v>0</v>
      </c>
      <c r="BB13" s="41" t="str">
        <f>IFERROR(__xludf.DUMMYFUNCTION("""COMPUTED_VALUE"""),"")</f>
        <v/>
      </c>
      <c r="BC13" s="170" t="str">
        <f>IFERROR(__xludf.DUMMYFUNCTION("""COMPUTED_VALUE"""),"R- need to understand characters, settings, and events in order to later show how they interact; E- builds as text becomes more complex; A- we can assume; L- not used in other subjects due to being fiction")</f>
        <v>R- need to understand characters, settings, and events in order to later show how they interact; E- builds as text becomes more complex; A- we can assume; L- not used in other subjects due to being fiction</v>
      </c>
      <c r="BD13" s="172">
        <f>IFERROR(__xludf.DUMMYFUNCTION("unique('6-R'!M28:U36)"),3.0)</f>
        <v>3</v>
      </c>
      <c r="BE13" s="41" t="str">
        <f>IFERROR(__xludf.DUMMYFUNCTION("""COMPUTED_VALUE"""),"RL.6.1")</f>
        <v>RL.6.1</v>
      </c>
      <c r="BF13" s="170" t="str">
        <f>IFERROR(__xludf.DUMMYFUNCTION("""COMPUTED_VALUE"""),"Cite textual evidence to support analysis of what the text says explicitly as well as inferences drawn from the text.")</f>
        <v>Cite textual evidence to support analysis of what the text says explicitly as well as inferences drawn from the text.</v>
      </c>
      <c r="BG13" s="171" t="b">
        <f>IFERROR(__xludf.DUMMYFUNCTION("""COMPUTED_VALUE"""),TRUE)</f>
        <v>1</v>
      </c>
      <c r="BH13" s="171" t="b">
        <f>IFERROR(__xludf.DUMMYFUNCTION("""COMPUTED_VALUE"""),TRUE)</f>
        <v>1</v>
      </c>
      <c r="BI13" s="171" t="b">
        <f>IFERROR(__xludf.DUMMYFUNCTION("""COMPUTED_VALUE"""),TRUE)</f>
        <v>1</v>
      </c>
      <c r="BJ13" s="171" t="b">
        <f>IFERROR(__xludf.DUMMYFUNCTION("""COMPUTED_VALUE"""),FALSE)</f>
        <v>0</v>
      </c>
      <c r="BK13" s="41" t="str">
        <f>IFERROR(__xludf.DUMMYFUNCTION("""COMPUTED_VALUE"""),"")</f>
        <v/>
      </c>
      <c r="BL13" s="170" t="str">
        <f>IFERROR(__xludf.DUMMYFUNCTION("""COMPUTED_VALUE"""),"R-in 7th students are expected to cite several pieces; E-Students will be asked to provide evidence anytime they answer questions; A-students are asked to provide evidence or choose evidence that supports answers; L-no leverage because it is based on fict"&amp;"ion")</f>
        <v>R-in 7th students are expected to cite several pieces; E-Students will be asked to provide evidence anytime they answer questions; A-students are asked to provide evidence or choose evidence that supports answers; L-no leverage because it is based on fiction</v>
      </c>
    </row>
    <row r="14">
      <c r="A14" s="42"/>
      <c r="B14" s="31"/>
      <c r="C14" s="41"/>
      <c r="D14" s="170"/>
      <c r="E14" s="171"/>
      <c r="F14" s="171"/>
      <c r="G14" s="171"/>
      <c r="H14" s="171"/>
      <c r="I14" s="41"/>
      <c r="J14" s="170"/>
      <c r="K14" s="172"/>
      <c r="L14" s="41"/>
      <c r="M14" s="170"/>
      <c r="N14" s="171"/>
      <c r="O14" s="171"/>
      <c r="P14" s="171"/>
      <c r="Q14" s="171"/>
      <c r="R14" s="41"/>
      <c r="S14" s="170"/>
      <c r="T14" s="172">
        <f>IFERROR(__xludf.DUMMYFUNCTION("""COMPUTED_VALUE"""),4.0)</f>
        <v>4</v>
      </c>
      <c r="U14" s="41" t="str">
        <f>IFERROR(__xludf.DUMMYFUNCTION("""COMPUTED_VALUE"""),"RL.2.2")</f>
        <v>RL.2.2</v>
      </c>
      <c r="V14" s="170" t="str">
        <f>IFERROR(__xludf.DUMMYFUNCTION("""COMPUTED_VALUE"""),"Recount stories, including fables and folktales from diverse cultures, and determine their central message, lesson, or moral.")</f>
        <v>Recount stories, including fables and folktales from diverse cultures, and determine their central message, lesson, or moral.</v>
      </c>
      <c r="W14" s="171" t="b">
        <f>IFERROR(__xludf.DUMMYFUNCTION("""COMPUTED_VALUE"""),TRUE)</f>
        <v>1</v>
      </c>
      <c r="X14" s="171" t="b">
        <f>IFERROR(__xludf.DUMMYFUNCTION("""COMPUTED_VALUE"""),TRUE)</f>
        <v>1</v>
      </c>
      <c r="Y14" s="171" t="b">
        <f>IFERROR(__xludf.DUMMYFUNCTION("""COMPUTED_VALUE"""),TRUE)</f>
        <v>1</v>
      </c>
      <c r="Z14" s="171" t="b">
        <f>IFERROR(__xludf.DUMMYFUNCTION("""COMPUTED_VALUE"""),TRUE)</f>
        <v>1</v>
      </c>
      <c r="AA14" s="41" t="str">
        <f>IFERROR(__xludf.DUMMYFUNCTION("""COMPUTED_VALUE"""),"")</f>
        <v/>
      </c>
      <c r="AB14" s="170" t="str">
        <f>IFERROR(__xludf.DUMMYFUNCTION("""COMPUTED_VALUE"""),"Essential for comprehension
&amp; RL.2.3 written as learning targets")</f>
        <v>Essential for comprehension
&amp; RL.2.3 written as learning targets</v>
      </c>
      <c r="AC14" s="172" t="str">
        <f>IFERROR(__xludf.DUMMYFUNCTION("""COMPUTED_VALUE"""),"")</f>
        <v/>
      </c>
      <c r="AD14" s="41" t="str">
        <f>IFERROR(__xludf.DUMMYFUNCTION("""COMPUTED_VALUE"""),"")</f>
        <v/>
      </c>
      <c r="AE14" s="170" t="str">
        <f>IFERROR(__xludf.DUMMYFUNCTION("""COMPUTED_VALUE"""),"")</f>
        <v/>
      </c>
      <c r="AF14" s="171" t="str">
        <f>IFERROR(__xludf.DUMMYFUNCTION("""COMPUTED_VALUE"""),"")</f>
        <v/>
      </c>
      <c r="AG14" s="171" t="str">
        <f>IFERROR(__xludf.DUMMYFUNCTION("""COMPUTED_VALUE"""),"")</f>
        <v/>
      </c>
      <c r="AH14" s="171" t="str">
        <f>IFERROR(__xludf.DUMMYFUNCTION("""COMPUTED_VALUE"""),"")</f>
        <v/>
      </c>
      <c r="AI14" s="171" t="str">
        <f>IFERROR(__xludf.DUMMYFUNCTION("""COMPUTED_VALUE"""),"")</f>
        <v/>
      </c>
      <c r="AJ14" s="41" t="str">
        <f>IFERROR(__xludf.DUMMYFUNCTION("""COMPUTED_VALUE"""),"")</f>
        <v/>
      </c>
      <c r="AK14" s="170" t="str">
        <f>IFERROR(__xludf.DUMMYFUNCTION("""COMPUTED_VALUE"""),"")</f>
        <v/>
      </c>
      <c r="AL14" s="172" t="str">
        <f>IFERROR(__xludf.DUMMYFUNCTION("""COMPUTED_VALUE"""),"")</f>
        <v/>
      </c>
      <c r="AM14" s="41" t="str">
        <f>IFERROR(__xludf.DUMMYFUNCTION("""COMPUTED_VALUE"""),"")</f>
        <v/>
      </c>
      <c r="AN14" s="170" t="str">
        <f>IFERROR(__xludf.DUMMYFUNCTION("""COMPUTED_VALUE"""),"")</f>
        <v/>
      </c>
      <c r="AO14" s="171" t="str">
        <f>IFERROR(__xludf.DUMMYFUNCTION("""COMPUTED_VALUE"""),"")</f>
        <v/>
      </c>
      <c r="AP14" s="171" t="str">
        <f>IFERROR(__xludf.DUMMYFUNCTION("""COMPUTED_VALUE"""),"")</f>
        <v/>
      </c>
      <c r="AQ14" s="171" t="str">
        <f>IFERROR(__xludf.DUMMYFUNCTION("""COMPUTED_VALUE"""),"")</f>
        <v/>
      </c>
      <c r="AR14" s="171" t="str">
        <f>IFERROR(__xludf.DUMMYFUNCTION("""COMPUTED_VALUE"""),"")</f>
        <v/>
      </c>
      <c r="AS14" s="41" t="str">
        <f>IFERROR(__xludf.DUMMYFUNCTION("""COMPUTED_VALUE"""),"")</f>
        <v/>
      </c>
      <c r="AT14" s="170" t="str">
        <f>IFERROR(__xludf.DUMMYFUNCTION("""COMPUTED_VALUE"""),"")</f>
        <v/>
      </c>
      <c r="AU14" s="172">
        <f>IFERROR(__xludf.DUMMYFUNCTION("""COMPUTED_VALUE"""),3.0)</f>
        <v>3</v>
      </c>
      <c r="AV14" s="41" t="str">
        <f>IFERROR(__xludf.DUMMYFUNCTION("""COMPUTED_VALUE"""),"RL.5.4")</f>
        <v>RL.5.4</v>
      </c>
      <c r="AW14" s="170" t="str">
        <f>IFERROR(__xludf.DUMMYFUNCTION("""COMPUTED_VALUE"""),"Determine the meaning of words and phrases as they are used in a text, including figurative language such as metaphors and similes")</f>
        <v>Determine the meaning of words and phrases as they are used in a text, including figurative language such as metaphors and similes</v>
      </c>
      <c r="AX14" s="171" t="b">
        <f>IFERROR(__xludf.DUMMYFUNCTION("""COMPUTED_VALUE"""),TRUE)</f>
        <v>1</v>
      </c>
      <c r="AY14" s="171" t="b">
        <f>IFERROR(__xludf.DUMMYFUNCTION("""COMPUTED_VALUE"""),TRUE)</f>
        <v>1</v>
      </c>
      <c r="AZ14" s="171" t="b">
        <f>IFERROR(__xludf.DUMMYFUNCTION("""COMPUTED_VALUE"""),TRUE)</f>
        <v>1</v>
      </c>
      <c r="BA14" s="171" t="b">
        <f>IFERROR(__xludf.DUMMYFUNCTION("""COMPUTED_VALUE"""),FALSE)</f>
        <v>0</v>
      </c>
      <c r="BB14" s="41" t="str">
        <f>IFERROR(__xludf.DUMMYFUNCTION("""COMPUTED_VALUE"""),"")</f>
        <v/>
      </c>
      <c r="BC14" s="170" t="str">
        <f>IFERROR(__xludf.DUMMYFUNCTION("""COMPUTED_VALUE"""),"R- need to know because 6th grade adds in connotation; E- understanding language deepens comprehension; A- we can assume; L- not used in other subjects because it is based on fiction")</f>
        <v>R- need to know because 6th grade adds in connotation; E- understanding language deepens comprehension; A- we can assume; L- not used in other subjects because it is based on fiction</v>
      </c>
      <c r="BD14" s="172" t="str">
        <f>IFERROR(__xludf.DUMMYFUNCTION("""COMPUTED_VALUE"""),"")</f>
        <v/>
      </c>
      <c r="BE14" s="41" t="str">
        <f>IFERROR(__xludf.DUMMYFUNCTION("""COMPUTED_VALUE"""),"")</f>
        <v/>
      </c>
      <c r="BF14" s="170" t="str">
        <f>IFERROR(__xludf.DUMMYFUNCTION("""COMPUTED_VALUE"""),"")</f>
        <v/>
      </c>
      <c r="BG14" s="171" t="str">
        <f>IFERROR(__xludf.DUMMYFUNCTION("""COMPUTED_VALUE"""),"")</f>
        <v/>
      </c>
      <c r="BH14" s="171" t="str">
        <f>IFERROR(__xludf.DUMMYFUNCTION("""COMPUTED_VALUE"""),"")</f>
        <v/>
      </c>
      <c r="BI14" s="171" t="str">
        <f>IFERROR(__xludf.DUMMYFUNCTION("""COMPUTED_VALUE"""),"")</f>
        <v/>
      </c>
      <c r="BJ14" s="171" t="str">
        <f>IFERROR(__xludf.DUMMYFUNCTION("""COMPUTED_VALUE"""),"")</f>
        <v/>
      </c>
      <c r="BK14" s="41" t="str">
        <f>IFERROR(__xludf.DUMMYFUNCTION("""COMPUTED_VALUE"""),"")</f>
        <v/>
      </c>
      <c r="BL14" s="170" t="str">
        <f>IFERROR(__xludf.DUMMYFUNCTION("""COMPUTED_VALUE"""),"")</f>
        <v/>
      </c>
    </row>
    <row r="15">
      <c r="A15" s="42"/>
      <c r="B15" s="31"/>
      <c r="C15" s="41"/>
      <c r="D15" s="170"/>
      <c r="E15" s="171"/>
      <c r="F15" s="171"/>
      <c r="G15" s="171"/>
      <c r="H15" s="171"/>
      <c r="I15" s="41"/>
      <c r="J15" s="170"/>
      <c r="K15" s="172"/>
      <c r="L15" s="41"/>
      <c r="M15" s="170"/>
      <c r="N15" s="171"/>
      <c r="O15" s="171"/>
      <c r="P15" s="171"/>
      <c r="Q15" s="171"/>
      <c r="R15" s="41"/>
      <c r="S15" s="170"/>
      <c r="T15" s="172">
        <f>IFERROR(__xludf.DUMMYFUNCTION("""COMPUTED_VALUE"""),0.0)</f>
        <v>0</v>
      </c>
      <c r="U15" s="41" t="str">
        <f>IFERROR(__xludf.DUMMYFUNCTION("""COMPUTED_VALUE"""),"")</f>
        <v/>
      </c>
      <c r="V15" s="170" t="str">
        <f>IFERROR(__xludf.DUMMYFUNCTION("""COMPUTED_VALUE"""),"")</f>
        <v/>
      </c>
      <c r="W15" s="171" t="str">
        <f>IFERROR(__xludf.DUMMYFUNCTION("""COMPUTED_VALUE"""),"")</f>
        <v/>
      </c>
      <c r="X15" s="171" t="str">
        <f>IFERROR(__xludf.DUMMYFUNCTION("""COMPUTED_VALUE"""),"")</f>
        <v/>
      </c>
      <c r="Y15" s="171" t="str">
        <f>IFERROR(__xludf.DUMMYFUNCTION("""COMPUTED_VALUE"""),"")</f>
        <v/>
      </c>
      <c r="Z15" s="171" t="str">
        <f>IFERROR(__xludf.DUMMYFUNCTION("""COMPUTED_VALUE"""),"")</f>
        <v/>
      </c>
      <c r="AA15" s="41" t="str">
        <f>IFERROR(__xludf.DUMMYFUNCTION("""COMPUTED_VALUE"""),"")</f>
        <v/>
      </c>
      <c r="AB15" s="170" t="str">
        <f>IFERROR(__xludf.DUMMYFUNCTION("""COMPUTED_VALUE"""),"")</f>
        <v/>
      </c>
      <c r="AC15" s="172">
        <f>IFERROR(__xludf.DUMMYFUNCTION("""COMPUTED_VALUE"""),4.0)</f>
        <v>4</v>
      </c>
      <c r="AD15" s="41" t="str">
        <f>IFERROR(__xludf.DUMMYFUNCTION("""COMPUTED_VALUE"""),"RL.3.3")</f>
        <v>RL.3.3</v>
      </c>
      <c r="AE15" s="170" t="str">
        <f>IFERROR(__xludf.DUMMYFUNCTION("""COMPUTED_VALUE"""),"Describe characters in a story (e.g., their traits, motivations, or feelings) and explain how their actions contribute to the sequence of events.")</f>
        <v>Describe characters in a story (e.g., their traits, motivations, or feelings) and explain how their actions contribute to the sequence of events.</v>
      </c>
      <c r="AF15" s="171" t="b">
        <f>IFERROR(__xludf.DUMMYFUNCTION("""COMPUTED_VALUE"""),TRUE)</f>
        <v>1</v>
      </c>
      <c r="AG15" s="171" t="b">
        <f>IFERROR(__xludf.DUMMYFUNCTION("""COMPUTED_VALUE"""),TRUE)</f>
        <v>1</v>
      </c>
      <c r="AH15" s="171" t="b">
        <f>IFERROR(__xludf.DUMMYFUNCTION("""COMPUTED_VALUE"""),TRUE)</f>
        <v>1</v>
      </c>
      <c r="AI15" s="171" t="b">
        <f>IFERROR(__xludf.DUMMYFUNCTION("""COMPUTED_VALUE"""),TRUE)</f>
        <v>1</v>
      </c>
      <c r="AJ15" s="41" t="str">
        <f>IFERROR(__xludf.DUMMYFUNCTION("""COMPUTED_VALUE"""),"")</f>
        <v/>
      </c>
      <c r="AK15" s="170" t="str">
        <f>IFERROR(__xludf.DUMMYFUNCTION("""COMPUTED_VALUE"""),"R - To be used in other grade levels
E - All year, especially in writing and reading
A - Many questions about these components
L - Could be used in Writing and SS")</f>
        <v>R - To be used in other grade levels
E - All year, especially in writing and reading
A - Many questions about these components
L - Could be used in Writing and SS</v>
      </c>
      <c r="AL15" s="172">
        <f>IFERROR(__xludf.DUMMYFUNCTION("""COMPUTED_VALUE"""),4.0)</f>
        <v>4</v>
      </c>
      <c r="AM15" s="41" t="str">
        <f>IFERROR(__xludf.DUMMYFUNCTION("""COMPUTED_VALUE"""),"RL.4.4")</f>
        <v>RL.4.4</v>
      </c>
      <c r="AN15" s="170" t="str">
        <f>IFERROR(__xludf.DUMMYFUNCTION("""COMPUTED_VALUE"""),"Determine the meaning of words and phrases as they are used in a text, including those that allude to significant characters found in mythology (e.g., Herculean).")</f>
        <v>Determine the meaning of words and phrases as they are used in a text, including those that allude to significant characters found in mythology (e.g., Herculean).</v>
      </c>
      <c r="AO15" s="171" t="b">
        <f>IFERROR(__xludf.DUMMYFUNCTION("""COMPUTED_VALUE"""),TRUE)</f>
        <v>1</v>
      </c>
      <c r="AP15" s="171" t="b">
        <f>IFERROR(__xludf.DUMMYFUNCTION("""COMPUTED_VALUE"""),TRUE)</f>
        <v>1</v>
      </c>
      <c r="AQ15" s="171" t="b">
        <f>IFERROR(__xludf.DUMMYFUNCTION("""COMPUTED_VALUE"""),TRUE)</f>
        <v>1</v>
      </c>
      <c r="AR15" s="171" t="b">
        <f>IFERROR(__xludf.DUMMYFUNCTION("""COMPUTED_VALUE"""),TRUE)</f>
        <v>1</v>
      </c>
      <c r="AS15" s="41" t="str">
        <f>IFERROR(__xludf.DUMMYFUNCTION("""COMPUTED_VALUE"""),"")</f>
        <v/>
      </c>
      <c r="AT15" s="170" t="str">
        <f>IFERROR(__xludf.DUMMYFUNCTION("""COMPUTED_VALUE"""),"R - Prereq for the next year 
E - FOREVER 
A - Tested! 
L - In all subjects it is used!")</f>
        <v>R - Prereq for the next year 
E - FOREVER 
A - Tested! 
L - In all subjects it is used!</v>
      </c>
      <c r="AU15" s="172" t="str">
        <f>IFERROR(__xludf.DUMMYFUNCTION("""COMPUTED_VALUE"""),"")</f>
        <v/>
      </c>
      <c r="AV15" s="41" t="str">
        <f>IFERROR(__xludf.DUMMYFUNCTION("""COMPUTED_VALUE"""),"")</f>
        <v/>
      </c>
      <c r="AW15" s="170" t="str">
        <f>IFERROR(__xludf.DUMMYFUNCTION("""COMPUTED_VALUE"""),"")</f>
        <v/>
      </c>
      <c r="AX15" s="171" t="str">
        <f>IFERROR(__xludf.DUMMYFUNCTION("""COMPUTED_VALUE"""),"")</f>
        <v/>
      </c>
      <c r="AY15" s="171" t="str">
        <f>IFERROR(__xludf.DUMMYFUNCTION("""COMPUTED_VALUE"""),"")</f>
        <v/>
      </c>
      <c r="AZ15" s="171" t="str">
        <f>IFERROR(__xludf.DUMMYFUNCTION("""COMPUTED_VALUE"""),"")</f>
        <v/>
      </c>
      <c r="BA15" s="171" t="str">
        <f>IFERROR(__xludf.DUMMYFUNCTION("""COMPUTED_VALUE"""),"")</f>
        <v/>
      </c>
      <c r="BB15" s="41" t="str">
        <f>IFERROR(__xludf.DUMMYFUNCTION("""COMPUTED_VALUE"""),"")</f>
        <v/>
      </c>
      <c r="BC15" s="170" t="str">
        <f>IFERROR(__xludf.DUMMYFUNCTION("""COMPUTED_VALUE"""),"")</f>
        <v/>
      </c>
      <c r="BD15" s="172">
        <f>IFERROR(__xludf.DUMMYFUNCTION("""COMPUTED_VALUE"""),3.0)</f>
        <v>3</v>
      </c>
      <c r="BE15" s="41" t="str">
        <f>IFERROR(__xludf.DUMMYFUNCTION("""COMPUTED_VALUE"""),"RL.6.3")</f>
        <v>RL.6.3</v>
      </c>
      <c r="BF15" s="170" t="str">
        <f>IFERROR(__xludf.DUMMYFUNCTION("""COMPUTED_VALUE"""),"Describe how a particular story’s or drama’s plot unfolds in a series of episodes as well as how the characters respond or change as the plot moves toward a resolution.")</f>
        <v>Describe how a particular story’s or drama’s plot unfolds in a series of episodes as well as how the characters respond or change as the plot moves toward a resolution.</v>
      </c>
      <c r="BG15" s="171" t="b">
        <f>IFERROR(__xludf.DUMMYFUNCTION("""COMPUTED_VALUE"""),TRUE)</f>
        <v>1</v>
      </c>
      <c r="BH15" s="171" t="b">
        <f>IFERROR(__xludf.DUMMYFUNCTION("""COMPUTED_VALUE"""),TRUE)</f>
        <v>1</v>
      </c>
      <c r="BI15" s="171" t="b">
        <f>IFERROR(__xludf.DUMMYFUNCTION("""COMPUTED_VALUE"""),TRUE)</f>
        <v>1</v>
      </c>
      <c r="BJ15" s="171" t="b">
        <f>IFERROR(__xludf.DUMMYFUNCTION("""COMPUTED_VALUE"""),FALSE)</f>
        <v>0</v>
      </c>
      <c r="BK15" s="41" t="str">
        <f>IFERROR(__xludf.DUMMYFUNCTION("""COMPUTED_VALUE"""),"")</f>
        <v/>
      </c>
      <c r="BL15" s="170" t="str">
        <f>IFERROR(__xludf.DUMMYFUNCTION("""COMPUTED_VALUE"""),"R-Need in 6th because in 7th they have to be able to analyze how the elements interact; E-builds as text becomes more complex; A-we can assume; L-not used in other subjects due to being based on fiction")</f>
        <v>R-Need in 6th because in 7th they have to be able to analyze how the elements interact; E-builds as text becomes more complex; A-we can assume; L-not used in other subjects due to being based on fiction</v>
      </c>
    </row>
    <row r="16">
      <c r="A16" s="42"/>
      <c r="B16" s="31"/>
      <c r="C16" s="41"/>
      <c r="D16" s="170"/>
      <c r="E16" s="171"/>
      <c r="F16" s="171"/>
      <c r="G16" s="171"/>
      <c r="H16" s="171"/>
      <c r="I16" s="41"/>
      <c r="J16" s="170"/>
      <c r="K16" s="172"/>
      <c r="L16" s="41"/>
      <c r="M16" s="170"/>
      <c r="N16" s="171"/>
      <c r="O16" s="171"/>
      <c r="P16" s="171"/>
      <c r="Q16" s="171"/>
      <c r="R16" s="41"/>
      <c r="S16" s="170"/>
      <c r="T16" s="172" t="str">
        <f>IFERROR(__xludf.DUMMYFUNCTION("""COMPUTED_VALUE"""),"")</f>
        <v/>
      </c>
      <c r="U16" s="41" t="str">
        <f>IFERROR(__xludf.DUMMYFUNCTION("""COMPUTED_VALUE"""),"")</f>
        <v/>
      </c>
      <c r="V16" s="170" t="str">
        <f>IFERROR(__xludf.DUMMYFUNCTION("""COMPUTED_VALUE"""),"")</f>
        <v/>
      </c>
      <c r="W16" s="171" t="str">
        <f>IFERROR(__xludf.DUMMYFUNCTION("""COMPUTED_VALUE"""),"")</f>
        <v/>
      </c>
      <c r="X16" s="171" t="str">
        <f>IFERROR(__xludf.DUMMYFUNCTION("""COMPUTED_VALUE"""),"")</f>
        <v/>
      </c>
      <c r="Y16" s="171" t="str">
        <f>IFERROR(__xludf.DUMMYFUNCTION("""COMPUTED_VALUE"""),"")</f>
        <v/>
      </c>
      <c r="Z16" s="171" t="str">
        <f>IFERROR(__xludf.DUMMYFUNCTION("""COMPUTED_VALUE"""),"")</f>
        <v/>
      </c>
      <c r="AA16" s="41" t="str">
        <f>IFERROR(__xludf.DUMMYFUNCTION("""COMPUTED_VALUE"""),"")</f>
        <v/>
      </c>
      <c r="AB16" s="170" t="str">
        <f>IFERROR(__xludf.DUMMYFUNCTION("""COMPUTED_VALUE"""),"")</f>
        <v/>
      </c>
      <c r="AC16" s="172">
        <f>IFERROR(__xludf.DUMMYFUNCTION("""COMPUTED_VALUE"""),4.0)</f>
        <v>4</v>
      </c>
      <c r="AD16" s="41" t="str">
        <f>IFERROR(__xludf.DUMMYFUNCTION("""COMPUTED_VALUE"""),"RL.3.4")</f>
        <v>RL.3.4</v>
      </c>
      <c r="AE16" s="170" t="str">
        <f>IFERROR(__xludf.DUMMYFUNCTION("""COMPUTED_VALUE"""),"Determine the meaning of words and phrases as they are used in a text, distinguishing literal from nonliteral language.")</f>
        <v>Determine the meaning of words and phrases as they are used in a text, distinguishing literal from nonliteral language.</v>
      </c>
      <c r="AF16" s="171" t="b">
        <f>IFERROR(__xludf.DUMMYFUNCTION("""COMPUTED_VALUE"""),TRUE)</f>
        <v>1</v>
      </c>
      <c r="AG16" s="171" t="b">
        <f>IFERROR(__xludf.DUMMYFUNCTION("""COMPUTED_VALUE"""),TRUE)</f>
        <v>1</v>
      </c>
      <c r="AH16" s="171" t="b">
        <f>IFERROR(__xludf.DUMMYFUNCTION("""COMPUTED_VALUE"""),TRUE)</f>
        <v>1</v>
      </c>
      <c r="AI16" s="171" t="b">
        <f>IFERROR(__xludf.DUMMYFUNCTION("""COMPUTED_VALUE"""),TRUE)</f>
        <v>1</v>
      </c>
      <c r="AJ16" s="41" t="str">
        <f>IFERROR(__xludf.DUMMYFUNCTION("""COMPUTED_VALUE"""),"")</f>
        <v/>
      </c>
      <c r="AK16" s="170" t="str">
        <f>IFERROR(__xludf.DUMMYFUNCTION("""COMPUTED_VALUE"""),"R - Prereq for the next year
E - FOREVER
A - Tested!
L - In all subjects it is used!")</f>
        <v>R - Prereq for the next year
E - FOREVER
A - Tested!
L - In all subjects it is used!</v>
      </c>
      <c r="AL16" s="172"/>
      <c r="AM16" s="41"/>
      <c r="AN16" s="170"/>
      <c r="AO16" s="171"/>
      <c r="AP16" s="171"/>
      <c r="AQ16" s="171"/>
      <c r="AR16" s="171"/>
      <c r="AS16" s="41"/>
      <c r="AT16" s="170"/>
      <c r="AU16" s="172"/>
      <c r="AV16" s="41"/>
      <c r="AW16" s="170"/>
      <c r="AX16" s="171"/>
      <c r="AY16" s="171"/>
      <c r="AZ16" s="171"/>
      <c r="BA16" s="171"/>
      <c r="BB16" s="41"/>
      <c r="BC16" s="170"/>
      <c r="BD16" s="172">
        <f>IFERROR(__xludf.DUMMYFUNCTION("""COMPUTED_VALUE"""),3.0)</f>
        <v>3</v>
      </c>
      <c r="BE16" s="41" t="str">
        <f>IFERROR(__xludf.DUMMYFUNCTION("""COMPUTED_VALUE"""),"RL.6.4")</f>
        <v>RL.6.4</v>
      </c>
      <c r="BF16" s="170" t="str">
        <f>IFERROR(__xludf.DUMMYFUNCTION("""COMPUTED_VALUE"""),"Determine the meaning of words and phrases as they are used in a text, including figurative and connotative meanings; analyze the impact of a specific word choice on meaning and tone.")</f>
        <v>Determine the meaning of words and phrases as they are used in a text, including figurative and connotative meanings; analyze the impact of a specific word choice on meaning and tone.</v>
      </c>
      <c r="BG16" s="171" t="b">
        <f>IFERROR(__xludf.DUMMYFUNCTION("""COMPUTED_VALUE"""),TRUE)</f>
        <v>1</v>
      </c>
      <c r="BH16" s="171" t="b">
        <f>IFERROR(__xludf.DUMMYFUNCTION("""COMPUTED_VALUE"""),TRUE)</f>
        <v>1</v>
      </c>
      <c r="BI16" s="171" t="b">
        <f>IFERROR(__xludf.DUMMYFUNCTION("""COMPUTED_VALUE"""),TRUE)</f>
        <v>1</v>
      </c>
      <c r="BJ16" s="171" t="b">
        <f>IFERROR(__xludf.DUMMYFUNCTION("""COMPUTED_VALUE"""),FALSE)</f>
        <v>0</v>
      </c>
      <c r="BK16" s="41" t="str">
        <f>IFERROR(__xludf.DUMMYFUNCTION("""COMPUTED_VALUE"""),"")</f>
        <v/>
      </c>
      <c r="BL16" s="170" t="str">
        <f>IFERROR(__xludf.DUMMYFUNCTION("""COMPUTED_VALUE"""),"R-Need in 6th because in 7th they have to be able to analyze how they affect the text; E-understanding language deepens comprehension; A-we can assume; L-not used in other subjects due to being based on fiction")</f>
        <v>R-Need in 6th because in 7th they have to be able to analyze how they affect the text; E-understanding language deepens comprehension; A-we can assume; L-not used in other subjects due to being based on fiction</v>
      </c>
    </row>
    <row r="17">
      <c r="A17" s="42"/>
      <c r="B17" s="31"/>
      <c r="C17" s="41"/>
      <c r="D17" s="170"/>
      <c r="E17" s="171"/>
      <c r="F17" s="171"/>
      <c r="G17" s="171"/>
      <c r="H17" s="171"/>
      <c r="I17" s="41"/>
      <c r="J17" s="170"/>
      <c r="K17" s="172"/>
      <c r="L17" s="41"/>
      <c r="M17" s="170"/>
      <c r="N17" s="171"/>
      <c r="O17" s="171"/>
      <c r="P17" s="171"/>
      <c r="Q17" s="171"/>
      <c r="R17" s="41"/>
      <c r="S17" s="170"/>
      <c r="T17" s="172"/>
      <c r="U17" s="41"/>
      <c r="V17" s="170"/>
      <c r="W17" s="171"/>
      <c r="X17" s="171"/>
      <c r="Y17" s="171"/>
      <c r="Z17" s="171"/>
      <c r="AA17" s="41"/>
      <c r="AB17" s="170"/>
      <c r="AC17" s="172"/>
      <c r="AD17" s="41"/>
      <c r="AE17" s="170"/>
      <c r="AF17" s="171"/>
      <c r="AG17" s="171"/>
      <c r="AH17" s="171"/>
      <c r="AI17" s="171"/>
      <c r="AJ17" s="41"/>
      <c r="AK17" s="170"/>
      <c r="AL17" s="172"/>
      <c r="AM17" s="41"/>
      <c r="AN17" s="170"/>
      <c r="AO17" s="171"/>
      <c r="AP17" s="171"/>
      <c r="AQ17" s="171"/>
      <c r="AR17" s="171"/>
      <c r="AS17" s="41"/>
      <c r="AT17" s="170"/>
      <c r="AU17" s="172"/>
      <c r="AV17" s="41"/>
      <c r="AW17" s="170"/>
      <c r="AX17" s="171"/>
      <c r="AY17" s="171"/>
      <c r="AZ17" s="171"/>
      <c r="BA17" s="171"/>
      <c r="BB17" s="41"/>
      <c r="BC17" s="170"/>
      <c r="BD17" s="172"/>
      <c r="BE17" s="41"/>
      <c r="BF17" s="170"/>
      <c r="BG17" s="171"/>
      <c r="BH17" s="171"/>
      <c r="BI17" s="171"/>
      <c r="BJ17" s="171"/>
      <c r="BK17" s="41"/>
      <c r="BL17" s="170"/>
    </row>
    <row r="18">
      <c r="A18" s="42"/>
      <c r="B18" s="31"/>
      <c r="C18" s="41"/>
      <c r="D18" s="170"/>
      <c r="E18" s="171"/>
      <c r="F18" s="171"/>
      <c r="G18" s="171"/>
      <c r="H18" s="171"/>
      <c r="I18" s="41"/>
      <c r="J18" s="170"/>
      <c r="K18" s="172"/>
      <c r="L18" s="41"/>
      <c r="M18" s="170"/>
      <c r="N18" s="171"/>
      <c r="O18" s="171"/>
      <c r="P18" s="171"/>
      <c r="Q18" s="171"/>
      <c r="R18" s="41"/>
      <c r="S18" s="170"/>
      <c r="T18" s="172"/>
      <c r="U18" s="41"/>
      <c r="V18" s="170"/>
      <c r="W18" s="171"/>
      <c r="X18" s="171"/>
      <c r="Y18" s="171"/>
      <c r="Z18" s="171"/>
      <c r="AA18" s="41"/>
      <c r="AB18" s="170"/>
      <c r="AC18" s="172"/>
      <c r="AD18" s="41"/>
      <c r="AE18" s="170"/>
      <c r="AF18" s="171"/>
      <c r="AG18" s="171"/>
      <c r="AH18" s="171"/>
      <c r="AI18" s="171"/>
      <c r="AJ18" s="41"/>
      <c r="AK18" s="170"/>
      <c r="AL18" s="172"/>
      <c r="AM18" s="41"/>
      <c r="AN18" s="170"/>
      <c r="AO18" s="171"/>
      <c r="AP18" s="171"/>
      <c r="AQ18" s="171"/>
      <c r="AR18" s="171"/>
      <c r="AS18" s="41"/>
      <c r="AT18" s="170"/>
      <c r="AU18" s="172"/>
      <c r="AV18" s="41"/>
      <c r="AW18" s="170"/>
      <c r="AX18" s="171"/>
      <c r="AY18" s="171"/>
      <c r="AZ18" s="171"/>
      <c r="BA18" s="171"/>
      <c r="BB18" s="41"/>
      <c r="BC18" s="170"/>
      <c r="BD18" s="172"/>
      <c r="BE18" s="41"/>
      <c r="BF18" s="170"/>
      <c r="BG18" s="171"/>
      <c r="BH18" s="171"/>
      <c r="BI18" s="171"/>
      <c r="BJ18" s="171"/>
      <c r="BK18" s="41"/>
      <c r="BL18" s="170"/>
    </row>
    <row r="19">
      <c r="A19" s="42"/>
      <c r="B19" s="31"/>
      <c r="C19" s="41"/>
      <c r="D19" s="170"/>
      <c r="E19" s="171"/>
      <c r="F19" s="171"/>
      <c r="G19" s="171"/>
      <c r="H19" s="171"/>
      <c r="I19" s="41"/>
      <c r="J19" s="170"/>
      <c r="K19" s="172"/>
      <c r="L19" s="41"/>
      <c r="M19" s="170"/>
      <c r="N19" s="171"/>
      <c r="O19" s="171"/>
      <c r="P19" s="171"/>
      <c r="Q19" s="171"/>
      <c r="R19" s="41"/>
      <c r="S19" s="170"/>
      <c r="T19" s="172"/>
      <c r="U19" s="41"/>
      <c r="V19" s="170"/>
      <c r="W19" s="171"/>
      <c r="X19" s="171"/>
      <c r="Y19" s="171"/>
      <c r="Z19" s="171"/>
      <c r="AA19" s="41"/>
      <c r="AB19" s="170"/>
      <c r="AC19" s="172"/>
      <c r="AD19" s="41"/>
      <c r="AE19" s="170"/>
      <c r="AF19" s="171"/>
      <c r="AG19" s="171"/>
      <c r="AH19" s="171"/>
      <c r="AI19" s="171"/>
      <c r="AJ19" s="41"/>
      <c r="AK19" s="170"/>
      <c r="AL19" s="172"/>
      <c r="AM19" s="41"/>
      <c r="AN19" s="170"/>
      <c r="AO19" s="171"/>
      <c r="AP19" s="171"/>
      <c r="AQ19" s="171"/>
      <c r="AR19" s="171"/>
      <c r="AS19" s="41"/>
      <c r="AT19" s="170"/>
      <c r="AU19" s="172"/>
      <c r="AV19" s="41"/>
      <c r="AW19" s="170"/>
      <c r="AX19" s="171"/>
      <c r="AY19" s="171"/>
      <c r="AZ19" s="171"/>
      <c r="BA19" s="171"/>
      <c r="BB19" s="41"/>
      <c r="BC19" s="170"/>
      <c r="BD19" s="172"/>
      <c r="BE19" s="41"/>
      <c r="BF19" s="170"/>
      <c r="BG19" s="171"/>
      <c r="BH19" s="171"/>
      <c r="BI19" s="171"/>
      <c r="BJ19" s="171"/>
      <c r="BK19" s="41"/>
      <c r="BL19" s="170"/>
    </row>
    <row r="20">
      <c r="A20" s="42"/>
      <c r="B20" s="31"/>
      <c r="C20" s="41"/>
      <c r="D20" s="170"/>
      <c r="E20" s="171"/>
      <c r="F20" s="171"/>
      <c r="G20" s="171"/>
      <c r="H20" s="171"/>
      <c r="I20" s="41"/>
      <c r="J20" s="170"/>
      <c r="K20" s="172"/>
      <c r="L20" s="41"/>
      <c r="M20" s="170"/>
      <c r="N20" s="171"/>
      <c r="O20" s="171"/>
      <c r="P20" s="171"/>
      <c r="Q20" s="171"/>
      <c r="R20" s="41"/>
      <c r="S20" s="170"/>
      <c r="T20" s="172"/>
      <c r="U20" s="41"/>
      <c r="V20" s="170"/>
      <c r="W20" s="171"/>
      <c r="X20" s="171"/>
      <c r="Y20" s="171"/>
      <c r="Z20" s="171"/>
      <c r="AA20" s="41"/>
      <c r="AB20" s="170"/>
      <c r="AC20" s="172"/>
      <c r="AD20" s="41"/>
      <c r="AE20" s="170"/>
      <c r="AF20" s="171"/>
      <c r="AG20" s="171"/>
      <c r="AH20" s="171"/>
      <c r="AI20" s="171"/>
      <c r="AJ20" s="41"/>
      <c r="AK20" s="170"/>
      <c r="AL20" s="172"/>
      <c r="AM20" s="41"/>
      <c r="AN20" s="170"/>
      <c r="AO20" s="171"/>
      <c r="AP20" s="171"/>
      <c r="AQ20" s="171"/>
      <c r="AR20" s="171"/>
      <c r="AS20" s="41"/>
      <c r="AT20" s="170"/>
      <c r="AU20" s="172"/>
      <c r="AV20" s="41"/>
      <c r="AW20" s="170"/>
      <c r="AX20" s="171"/>
      <c r="AY20" s="171"/>
      <c r="AZ20" s="171"/>
      <c r="BA20" s="171"/>
      <c r="BB20" s="41"/>
      <c r="BC20" s="170"/>
      <c r="BD20" s="172"/>
      <c r="BE20" s="41"/>
      <c r="BF20" s="170"/>
      <c r="BG20" s="171"/>
      <c r="BH20" s="171"/>
      <c r="BI20" s="171"/>
      <c r="BJ20" s="171"/>
      <c r="BK20" s="41"/>
      <c r="BL20" s="170"/>
    </row>
    <row r="21">
      <c r="A21" s="49"/>
      <c r="B21" s="50"/>
      <c r="C21" s="52"/>
      <c r="D21" s="174"/>
      <c r="E21" s="175"/>
      <c r="F21" s="175"/>
      <c r="G21" s="175"/>
      <c r="H21" s="175"/>
      <c r="I21" s="52"/>
      <c r="J21" s="174"/>
      <c r="K21" s="176"/>
      <c r="L21" s="52"/>
      <c r="M21" s="174"/>
      <c r="N21" s="175"/>
      <c r="O21" s="175"/>
      <c r="P21" s="175"/>
      <c r="Q21" s="175"/>
      <c r="R21" s="52"/>
      <c r="S21" s="174"/>
      <c r="T21" s="176"/>
      <c r="U21" s="52"/>
      <c r="V21" s="174"/>
      <c r="W21" s="175"/>
      <c r="X21" s="175"/>
      <c r="Y21" s="175"/>
      <c r="Z21" s="175"/>
      <c r="AA21" s="52"/>
      <c r="AB21" s="174"/>
      <c r="AC21" s="176"/>
      <c r="AD21" s="52"/>
      <c r="AE21" s="174"/>
      <c r="AF21" s="175"/>
      <c r="AG21" s="175"/>
      <c r="AH21" s="175"/>
      <c r="AI21" s="175"/>
      <c r="AJ21" s="52"/>
      <c r="AK21" s="174"/>
      <c r="AL21" s="176"/>
      <c r="AM21" s="52"/>
      <c r="AN21" s="174"/>
      <c r="AO21" s="175"/>
      <c r="AP21" s="175"/>
      <c r="AQ21" s="175"/>
      <c r="AR21" s="175"/>
      <c r="AS21" s="52"/>
      <c r="AT21" s="174"/>
      <c r="AU21" s="176"/>
      <c r="AV21" s="52"/>
      <c r="AW21" s="174"/>
      <c r="AX21" s="175"/>
      <c r="AY21" s="175"/>
      <c r="AZ21" s="175"/>
      <c r="BA21" s="175"/>
      <c r="BB21" s="52"/>
      <c r="BC21" s="174"/>
      <c r="BD21" s="176"/>
      <c r="BE21" s="52"/>
      <c r="BF21" s="174"/>
      <c r="BG21" s="175"/>
      <c r="BH21" s="175"/>
      <c r="BI21" s="175"/>
      <c r="BJ21" s="175"/>
      <c r="BK21" s="52"/>
      <c r="BL21" s="174"/>
    </row>
    <row r="22">
      <c r="A22" s="178" t="s">
        <v>183</v>
      </c>
      <c r="B22" s="179" t="str">
        <f>IFERROR(__xludf.DUMMYFUNCTION("unique('K-R'!M71:U80)"),"")</f>
        <v/>
      </c>
      <c r="C22" s="41" t="str">
        <f>IFERROR(__xludf.DUMMYFUNCTION("""COMPUTED_VALUE"""),"")</f>
        <v/>
      </c>
      <c r="D22" s="170" t="str">
        <f>IFERROR(__xludf.DUMMYFUNCTION("""COMPUTED_VALUE"""),"")</f>
        <v/>
      </c>
      <c r="E22" s="171" t="str">
        <f>IFERROR(__xludf.DUMMYFUNCTION("""COMPUTED_VALUE"""),"")</f>
        <v/>
      </c>
      <c r="F22" s="171" t="str">
        <f>IFERROR(__xludf.DUMMYFUNCTION("""COMPUTED_VALUE"""),"")</f>
        <v/>
      </c>
      <c r="G22" s="171" t="str">
        <f>IFERROR(__xludf.DUMMYFUNCTION("""COMPUTED_VALUE"""),"")</f>
        <v/>
      </c>
      <c r="H22" s="171" t="str">
        <f>IFERROR(__xludf.DUMMYFUNCTION("""COMPUTED_VALUE"""),"")</f>
        <v/>
      </c>
      <c r="I22" s="41" t="str">
        <f>IFERROR(__xludf.DUMMYFUNCTION("""COMPUTED_VALUE"""),"")</f>
        <v/>
      </c>
      <c r="J22" s="170" t="str">
        <f>IFERROR(__xludf.DUMMYFUNCTION("""COMPUTED_VALUE"""),"")</f>
        <v/>
      </c>
      <c r="K22" s="172">
        <f>IFERROR(__xludf.DUMMYFUNCTION("unique('1-R'!M76:U84)"),4.0)</f>
        <v>4</v>
      </c>
      <c r="L22" s="41"/>
      <c r="M22" s="170"/>
      <c r="N22" s="171"/>
      <c r="O22" s="171"/>
      <c r="P22" s="171"/>
      <c r="Q22" s="171"/>
      <c r="R22" s="41"/>
      <c r="S22" s="170"/>
      <c r="T22" s="172">
        <f>IFERROR(__xludf.DUMMYFUNCTION("unique('2-R'!M59:U68)"),0.0)</f>
        <v>0</v>
      </c>
      <c r="U22" s="41" t="str">
        <f>IFERROR(__xludf.DUMMYFUNCTION("""COMPUTED_VALUE"""),"")</f>
        <v/>
      </c>
      <c r="V22" s="170" t="str">
        <f>IFERROR(__xludf.DUMMYFUNCTION("""COMPUTED_VALUE"""),"")</f>
        <v/>
      </c>
      <c r="W22" s="171" t="str">
        <f>IFERROR(__xludf.DUMMYFUNCTION("""COMPUTED_VALUE"""),"")</f>
        <v/>
      </c>
      <c r="X22" s="171" t="str">
        <f>IFERROR(__xludf.DUMMYFUNCTION("""COMPUTED_VALUE"""),"")</f>
        <v/>
      </c>
      <c r="Y22" s="171" t="str">
        <f>IFERROR(__xludf.DUMMYFUNCTION("""COMPUTED_VALUE"""),"")</f>
        <v/>
      </c>
      <c r="Z22" s="171" t="str">
        <f>IFERROR(__xludf.DUMMYFUNCTION("""COMPUTED_VALUE"""),"")</f>
        <v/>
      </c>
      <c r="AA22" s="41" t="str">
        <f>IFERROR(__xludf.DUMMYFUNCTION("""COMPUTED_VALUE"""),"")</f>
        <v/>
      </c>
      <c r="AB22" s="170" t="str">
        <f>IFERROR(__xludf.DUMMYFUNCTION("""COMPUTED_VALUE"""),"")</f>
        <v/>
      </c>
      <c r="AC22" s="172">
        <f>IFERROR(__xludf.DUMMYFUNCTION("unique('3-R'!M55:U64)"),4.0)</f>
        <v>4</v>
      </c>
      <c r="AD22" s="41" t="str">
        <f>IFERROR(__xludf.DUMMYFUNCTION("""COMPUTED_VALUE"""),"RI.3.1")</f>
        <v>RI.3.1</v>
      </c>
      <c r="AE22" s="170" t="str">
        <f>IFERROR(__xludf.DUMMYFUNCTION("""COMPUTED_VALUE"""),"Ask and answer questions to demonstrate understanding of a text, referring explicitly to the text as the basis for the answers")</f>
        <v>Ask and answer questions to demonstrate understanding of a text, referring explicitly to the text as the basis for the answers</v>
      </c>
      <c r="AF22" s="171" t="b">
        <f>IFERROR(__xludf.DUMMYFUNCTION("""COMPUTED_VALUE"""),TRUE)</f>
        <v>1</v>
      </c>
      <c r="AG22" s="171" t="b">
        <f>IFERROR(__xludf.DUMMYFUNCTION("""COMPUTED_VALUE"""),TRUE)</f>
        <v>1</v>
      </c>
      <c r="AH22" s="171" t="b">
        <f>IFERROR(__xludf.DUMMYFUNCTION("""COMPUTED_VALUE"""),TRUE)</f>
        <v>1</v>
      </c>
      <c r="AI22" s="171" t="b">
        <f>IFERROR(__xludf.DUMMYFUNCTION("""COMPUTED_VALUE"""),TRUE)</f>
        <v>1</v>
      </c>
      <c r="AJ22" s="41" t="str">
        <f>IFERROR(__xludf.DUMMYFUNCTION("""COMPUTED_VALUE"""),"")</f>
        <v/>
      </c>
      <c r="AK22" s="170" t="str">
        <f>IFERROR(__xludf.DUMMYFUNCTION("""COMPUTED_VALUE"""),"")</f>
        <v/>
      </c>
      <c r="AL22" s="172">
        <f>IFERROR(__xludf.DUMMYFUNCTION("unique('4-R'!M49:U58)"),4.0)</f>
        <v>4</v>
      </c>
      <c r="AM22" s="41" t="str">
        <f>IFERROR(__xludf.DUMMYFUNCTION("""COMPUTED_VALUE"""),"RI.4.1")</f>
        <v>RI.4.1</v>
      </c>
      <c r="AN22" s="170" t="str">
        <f>IFERROR(__xludf.DUMMYFUNCTION("""COMPUTED_VALUE"""),"Refer to details and examples in a text when explaining what the text says explicitly and when drawing inferences from the text.")</f>
        <v>Refer to details and examples in a text when explaining what the text says explicitly and when drawing inferences from the text.</v>
      </c>
      <c r="AO22" s="171" t="b">
        <f>IFERROR(__xludf.DUMMYFUNCTION("""COMPUTED_VALUE"""),TRUE)</f>
        <v>1</v>
      </c>
      <c r="AP22" s="171" t="b">
        <f>IFERROR(__xludf.DUMMYFUNCTION("""COMPUTED_VALUE"""),TRUE)</f>
        <v>1</v>
      </c>
      <c r="AQ22" s="171" t="b">
        <f>IFERROR(__xludf.DUMMYFUNCTION("""COMPUTED_VALUE"""),TRUE)</f>
        <v>1</v>
      </c>
      <c r="AR22" s="171" t="b">
        <f>IFERROR(__xludf.DUMMYFUNCTION("""COMPUTED_VALUE"""),TRUE)</f>
        <v>1</v>
      </c>
      <c r="AS22" s="41" t="str">
        <f>IFERROR(__xludf.DUMMYFUNCTION("""COMPUTED_VALUE"""),"")</f>
        <v/>
      </c>
      <c r="AT22" s="170" t="str">
        <f>IFERROR(__xludf.DUMMYFUNCTION("""COMPUTED_VALUE"""),"")</f>
        <v/>
      </c>
      <c r="AU22" s="172">
        <f>IFERROR(__xludf.DUMMYFUNCTION("unique('5-R'!M49:U58)"),4.0)</f>
        <v>4</v>
      </c>
      <c r="AV22" s="41" t="str">
        <f>IFERROR(__xludf.DUMMYFUNCTION("""COMPUTED_VALUE"""),"RI.5.1")</f>
        <v>RI.5.1</v>
      </c>
      <c r="AW22" s="170" t="str">
        <f>IFERROR(__xludf.DUMMYFUNCTION("""COMPUTED_VALUE"""),"Quote accurately from a text when explaining what the text says explicitly and when drawing inferences from the text.")</f>
        <v>Quote accurately from a text when explaining what the text says explicitly and when drawing inferences from the text.</v>
      </c>
      <c r="AX22" s="171" t="b">
        <f>IFERROR(__xludf.DUMMYFUNCTION("""COMPUTED_VALUE"""),TRUE)</f>
        <v>1</v>
      </c>
      <c r="AY22" s="171" t="b">
        <f>IFERROR(__xludf.DUMMYFUNCTION("""COMPUTED_VALUE"""),TRUE)</f>
        <v>1</v>
      </c>
      <c r="AZ22" s="171" t="b">
        <f>IFERROR(__xludf.DUMMYFUNCTION("""COMPUTED_VALUE"""),TRUE)</f>
        <v>1</v>
      </c>
      <c r="BA22" s="171" t="b">
        <f>IFERROR(__xludf.DUMMYFUNCTION("""COMPUTED_VALUE"""),TRUE)</f>
        <v>1</v>
      </c>
      <c r="BB22" s="41" t="str">
        <f>IFERROR(__xludf.DUMMYFUNCTION("""COMPUTED_VALUE"""),"")</f>
        <v/>
      </c>
      <c r="BC22" s="170" t="str">
        <f>IFERROR(__xludf.DUMMYFUNCTION("""COMPUTED_VALUE"""),"R- 6th is required to cite the texts; E- as texts become more complex, students are expected to cite multiple texts in their analysis; A- we can assume; L- can use in all subjects  ")</f>
        <v>R- 6th is required to cite the texts; E- as texts become more complex, students are expected to cite multiple texts in their analysis; A- we can assume; L- can use in all subjects  </v>
      </c>
      <c r="BD22" s="172">
        <f>IFERROR(__xludf.DUMMYFUNCTION("unique('6-R'!M37:U46)"),4.0)</f>
        <v>4</v>
      </c>
      <c r="BE22" s="41" t="str">
        <f>IFERROR(__xludf.DUMMYFUNCTION("""COMPUTED_VALUE"""),"RI.6.1")</f>
        <v>RI.6.1</v>
      </c>
      <c r="BF22" s="170" t="str">
        <f>IFERROR(__xludf.DUMMYFUNCTION("""COMPUTED_VALUE"""),"Cite textual evidence to support analysis of what the text says explicitly as well as inferences drawn from the text.")</f>
        <v>Cite textual evidence to support analysis of what the text says explicitly as well as inferences drawn from the text.</v>
      </c>
      <c r="BG22" s="171" t="b">
        <f>IFERROR(__xludf.DUMMYFUNCTION("""COMPUTED_VALUE"""),TRUE)</f>
        <v>1</v>
      </c>
      <c r="BH22" s="171" t="b">
        <f>IFERROR(__xludf.DUMMYFUNCTION("""COMPUTED_VALUE"""),TRUE)</f>
        <v>1</v>
      </c>
      <c r="BI22" s="171" t="b">
        <f>IFERROR(__xludf.DUMMYFUNCTION("""COMPUTED_VALUE"""),TRUE)</f>
        <v>1</v>
      </c>
      <c r="BJ22" s="171" t="b">
        <f>IFERROR(__xludf.DUMMYFUNCTION("""COMPUTED_VALUE"""),TRUE)</f>
        <v>1</v>
      </c>
      <c r="BK22" s="41" t="str">
        <f>IFERROR(__xludf.DUMMYFUNCTION("""COMPUTED_VALUE"""),"")</f>
        <v/>
      </c>
      <c r="BL22" s="170" t="str">
        <f>IFERROR(__xludf.DUMMYFUNCTION("""COMPUTED_VALUE"""),"R-need in 6th because in 7th students are expected cite evidence from several pieces of text; E-as texts become more complex, students have to analyze multiple texts; A-we can assume; L-can use in all subjects")</f>
        <v>R-need in 6th because in 7th students are expected cite evidence from several pieces of text; E-as texts become more complex, students have to analyze multiple texts; A-we can assume; L-can use in all subjects</v>
      </c>
    </row>
    <row r="23">
      <c r="A23" s="42"/>
      <c r="B23" s="31"/>
      <c r="C23" s="41"/>
      <c r="D23" s="170"/>
      <c r="E23" s="171"/>
      <c r="F23" s="171"/>
      <c r="G23" s="171"/>
      <c r="H23" s="171"/>
      <c r="I23" s="41"/>
      <c r="J23" s="170"/>
      <c r="K23" s="172" t="str">
        <f>IFERROR(__xludf.DUMMYFUNCTION("""COMPUTED_VALUE"""),"")</f>
        <v/>
      </c>
      <c r="L23" s="41" t="str">
        <f>IFERROR(__xludf.DUMMYFUNCTION("""COMPUTED_VALUE"""),"")</f>
        <v/>
      </c>
      <c r="M23" s="170" t="str">
        <f>IFERROR(__xludf.DUMMYFUNCTION("""COMPUTED_VALUE"""),"")</f>
        <v/>
      </c>
      <c r="N23" s="171" t="str">
        <f>IFERROR(__xludf.DUMMYFUNCTION("""COMPUTED_VALUE"""),"")</f>
        <v/>
      </c>
      <c r="O23" s="171" t="str">
        <f>IFERROR(__xludf.DUMMYFUNCTION("""COMPUTED_VALUE"""),"")</f>
        <v/>
      </c>
      <c r="P23" s="171" t="str">
        <f>IFERROR(__xludf.DUMMYFUNCTION("""COMPUTED_VALUE"""),"")</f>
        <v/>
      </c>
      <c r="Q23" s="171" t="str">
        <f>IFERROR(__xludf.DUMMYFUNCTION("""COMPUTED_VALUE"""),"")</f>
        <v/>
      </c>
      <c r="R23" s="41" t="str">
        <f>IFERROR(__xludf.DUMMYFUNCTION("""COMPUTED_VALUE"""),"")</f>
        <v/>
      </c>
      <c r="S23" s="170" t="str">
        <f>IFERROR(__xludf.DUMMYFUNCTION("""COMPUTED_VALUE"""),"")</f>
        <v/>
      </c>
      <c r="T23" s="172">
        <f>IFERROR(__xludf.DUMMYFUNCTION("""COMPUTED_VALUE"""),4.0)</f>
        <v>4</v>
      </c>
      <c r="U23" s="41" t="str">
        <f>IFERROR(__xludf.DUMMYFUNCTION("""COMPUTED_VALUE"""),"RI.2.4")</f>
        <v>RI.2.4</v>
      </c>
      <c r="V23" s="170" t="str">
        <f>IFERROR(__xludf.DUMMYFUNCTION("""COMPUTED_VALUE"""),"Determine the meaning of words and phrases in a text relevant to a grade 2 topic or subject area.")</f>
        <v>Determine the meaning of words and phrases in a text relevant to a grade 2 topic or subject area.</v>
      </c>
      <c r="W23" s="171" t="b">
        <f>IFERROR(__xludf.DUMMYFUNCTION("""COMPUTED_VALUE"""),TRUE)</f>
        <v>1</v>
      </c>
      <c r="X23" s="171" t="b">
        <f>IFERROR(__xludf.DUMMYFUNCTION("""COMPUTED_VALUE"""),TRUE)</f>
        <v>1</v>
      </c>
      <c r="Y23" s="171" t="b">
        <f>IFERROR(__xludf.DUMMYFUNCTION("""COMPUTED_VALUE"""),TRUE)</f>
        <v>1</v>
      </c>
      <c r="Z23" s="171" t="b">
        <f>IFERROR(__xludf.DUMMYFUNCTION("""COMPUTED_VALUE"""),TRUE)</f>
        <v>1</v>
      </c>
      <c r="AA23" s="41" t="str">
        <f>IFERROR(__xludf.DUMMYFUNCTION("""COMPUTED_VALUE"""),"")</f>
        <v/>
      </c>
      <c r="AB23" s="170" t="str">
        <f>IFERROR(__xludf.DUMMYFUNCTION("""COMPUTED_VALUE"""),"Vocabulary/Context clues")</f>
        <v>Vocabulary/Context clues</v>
      </c>
      <c r="AC23" s="172">
        <f>IFERROR(__xludf.DUMMYFUNCTION("""COMPUTED_VALUE"""),4.0)</f>
        <v>4</v>
      </c>
      <c r="AD23" s="41" t="str">
        <f>IFERROR(__xludf.DUMMYFUNCTION("""COMPUTED_VALUE"""),"RI.3.2")</f>
        <v>RI.3.2</v>
      </c>
      <c r="AE23" s="170" t="str">
        <f>IFERROR(__xludf.DUMMYFUNCTION("""COMPUTED_VALUE"""),"Determine the main idea of a text; recount the key details and explain")</f>
        <v>Determine the main idea of a text; recount the key details and explain</v>
      </c>
      <c r="AF23" s="171" t="b">
        <f>IFERROR(__xludf.DUMMYFUNCTION("""COMPUTED_VALUE"""),TRUE)</f>
        <v>1</v>
      </c>
      <c r="AG23" s="171" t="b">
        <f>IFERROR(__xludf.DUMMYFUNCTION("""COMPUTED_VALUE"""),TRUE)</f>
        <v>1</v>
      </c>
      <c r="AH23" s="171" t="b">
        <f>IFERROR(__xludf.DUMMYFUNCTION("""COMPUTED_VALUE"""),TRUE)</f>
        <v>1</v>
      </c>
      <c r="AI23" s="171" t="b">
        <f>IFERROR(__xludf.DUMMYFUNCTION("""COMPUTED_VALUE"""),TRUE)</f>
        <v>1</v>
      </c>
      <c r="AJ23" s="41" t="str">
        <f>IFERROR(__xludf.DUMMYFUNCTION("""COMPUTED_VALUE"""),"")</f>
        <v/>
      </c>
      <c r="AK23" s="170" t="str">
        <f>IFERROR(__xludf.DUMMYFUNCTION("""COMPUTED_VALUE"""),"")</f>
        <v/>
      </c>
      <c r="AL23" s="172">
        <f>IFERROR(__xludf.DUMMYFUNCTION("""COMPUTED_VALUE"""),4.0)</f>
        <v>4</v>
      </c>
      <c r="AM23" s="41" t="str">
        <f>IFERROR(__xludf.DUMMYFUNCTION("""COMPUTED_VALUE"""),"RI.4.2")</f>
        <v>RI.4.2</v>
      </c>
      <c r="AN23" s="170" t="str">
        <f>IFERROR(__xludf.DUMMYFUNCTION("""COMPUTED_VALUE"""),"Determine the main idea of a text and explain how it is supported by key details; summarize the text.")</f>
        <v>Determine the main idea of a text and explain how it is supported by key details; summarize the text.</v>
      </c>
      <c r="AO23" s="171" t="b">
        <f>IFERROR(__xludf.DUMMYFUNCTION("""COMPUTED_VALUE"""),TRUE)</f>
        <v>1</v>
      </c>
      <c r="AP23" s="171" t="b">
        <f>IFERROR(__xludf.DUMMYFUNCTION("""COMPUTED_VALUE"""),TRUE)</f>
        <v>1</v>
      </c>
      <c r="AQ23" s="171" t="b">
        <f>IFERROR(__xludf.DUMMYFUNCTION("""COMPUTED_VALUE"""),TRUE)</f>
        <v>1</v>
      </c>
      <c r="AR23" s="171" t="b">
        <f>IFERROR(__xludf.DUMMYFUNCTION("""COMPUTED_VALUE"""),TRUE)</f>
        <v>1</v>
      </c>
      <c r="AS23" s="41" t="str">
        <f>IFERROR(__xludf.DUMMYFUNCTION("""COMPUTED_VALUE"""),"")</f>
        <v/>
      </c>
      <c r="AT23" s="170" t="str">
        <f>IFERROR(__xludf.DUMMYFUNCTION("""COMPUTED_VALUE"""),"")</f>
        <v/>
      </c>
      <c r="AU23" s="172">
        <f>IFERROR(__xludf.DUMMYFUNCTION("""COMPUTED_VALUE"""),4.0)</f>
        <v>4</v>
      </c>
      <c r="AV23" s="41" t="str">
        <f>IFERROR(__xludf.DUMMYFUNCTION("""COMPUTED_VALUE"""),"RI.5.2")</f>
        <v>RI.5.2</v>
      </c>
      <c r="AW23" s="170" t="str">
        <f>IFERROR(__xludf.DUMMYFUNCTION("""COMPUTED_VALUE"""),"Determine two or more main ideas of a text and explain how they are supported by key details; summarize the text.")</f>
        <v>Determine two or more main ideas of a text and explain how they are supported by key details; summarize the text.</v>
      </c>
      <c r="AX23" s="171" t="b">
        <f>IFERROR(__xludf.DUMMYFUNCTION("""COMPUTED_VALUE"""),TRUE)</f>
        <v>1</v>
      </c>
      <c r="AY23" s="171" t="b">
        <f>IFERROR(__xludf.DUMMYFUNCTION("""COMPUTED_VALUE"""),TRUE)</f>
        <v>1</v>
      </c>
      <c r="AZ23" s="171" t="b">
        <f>IFERROR(__xludf.DUMMYFUNCTION("""COMPUTED_VALUE"""),TRUE)</f>
        <v>1</v>
      </c>
      <c r="BA23" s="171" t="b">
        <f>IFERROR(__xludf.DUMMYFUNCTION("""COMPUTED_VALUE"""),TRUE)</f>
        <v>1</v>
      </c>
      <c r="BB23" s="41" t="str">
        <f>IFERROR(__xludf.DUMMYFUNCTION("""COMPUTED_VALUE"""),"")</f>
        <v/>
      </c>
      <c r="BC23" s="170" t="str">
        <f>IFERROR(__xludf.DUMMYFUNCTION("""COMPUTED_VALUE"""),"R- need this in order to determine central idea; E- as texts become more complex, students will be expected to analyze and explain how ideas were developed and summarize without judgment; A- we can assume; L- can be used in other subjects")</f>
        <v>R- need this in order to determine central idea; E- as texts become more complex, students will be expected to analyze and explain how ideas were developed and summarize without judgment; A- we can assume; L- can be used in other subjects</v>
      </c>
      <c r="BD23" s="172">
        <f>IFERROR(__xludf.DUMMYFUNCTION("""COMPUTED_VALUE"""),4.0)</f>
        <v>4</v>
      </c>
      <c r="BE23" s="41" t="str">
        <f>IFERROR(__xludf.DUMMYFUNCTION("""COMPUTED_VALUE"""),"RI.6.2")</f>
        <v>RI.6.2</v>
      </c>
      <c r="BF23" s="170" t="str">
        <f>IFERROR(__xludf.DUMMYFUNCTION("""COMPUTED_VALUE"""),"Determine a central idea of a text and how it is conveyed through particular details; provide a summary of the text distinct from personal opinions or judgments.")</f>
        <v>Determine a central idea of a text and how it is conveyed through particular details; provide a summary of the text distinct from personal opinions or judgments.</v>
      </c>
      <c r="BG23" s="171" t="b">
        <f>IFERROR(__xludf.DUMMYFUNCTION("""COMPUTED_VALUE"""),TRUE)</f>
        <v>1</v>
      </c>
      <c r="BH23" s="171" t="b">
        <f>IFERROR(__xludf.DUMMYFUNCTION("""COMPUTED_VALUE"""),TRUE)</f>
        <v>1</v>
      </c>
      <c r="BI23" s="171" t="b">
        <f>IFERROR(__xludf.DUMMYFUNCTION("""COMPUTED_VALUE"""),TRUE)</f>
        <v>1</v>
      </c>
      <c r="BJ23" s="171" t="b">
        <f>IFERROR(__xludf.DUMMYFUNCTION("""COMPUTED_VALUE"""),TRUE)</f>
        <v>1</v>
      </c>
      <c r="BK23" s="41" t="str">
        <f>IFERROR(__xludf.DUMMYFUNCTION("""COMPUTED_VALUE"""),"")</f>
        <v/>
      </c>
      <c r="BL23" s="170" t="str">
        <f>IFERROR(__xludf.DUMMYFUNCTION("""COMPUTED_VALUE"""),"R-need in 6th because in 7th the students have to be able to analyze the development of central ideas; E-as texts become more complex, the students will be expected to analyze and explain how ideas were developed and summarize without judgement; A- we can"&amp;" assume; L-can be used in other subjects")</f>
        <v>R-need in 6th because in 7th the students have to be able to analyze the development of central ideas; E-as texts become more complex, the students will be expected to analyze and explain how ideas were developed and summarize without judgement; A- we can assume; L-can be used in other subjects</v>
      </c>
    </row>
    <row r="24">
      <c r="A24" s="42"/>
      <c r="B24" s="31"/>
      <c r="C24" s="41"/>
      <c r="D24" s="170"/>
      <c r="E24" s="171"/>
      <c r="F24" s="171"/>
      <c r="G24" s="171"/>
      <c r="H24" s="171"/>
      <c r="I24" s="41"/>
      <c r="J24" s="170"/>
      <c r="K24" s="172">
        <f>IFERROR(__xludf.DUMMYFUNCTION("""COMPUTED_VALUE"""),4.0)</f>
        <v>4</v>
      </c>
      <c r="L24" s="41" t="str">
        <f>IFERROR(__xludf.DUMMYFUNCTION("""COMPUTED_VALUE"""),"RI.1.4")</f>
        <v>RI.1.4</v>
      </c>
      <c r="M24" s="170" t="str">
        <f>IFERROR(__xludf.DUMMYFUNCTION("""COMPUTED_VALUE"""),"Ask and answer questions to help determine or clarify the meaning of words and phrases in a text.")</f>
        <v>Ask and answer questions to help determine or clarify the meaning of words and phrases in a text.</v>
      </c>
      <c r="N24" s="171" t="b">
        <f>IFERROR(__xludf.DUMMYFUNCTION("""COMPUTED_VALUE"""),TRUE)</f>
        <v>1</v>
      </c>
      <c r="O24" s="171" t="b">
        <f>IFERROR(__xludf.DUMMYFUNCTION("""COMPUTED_VALUE"""),TRUE)</f>
        <v>1</v>
      </c>
      <c r="P24" s="171" t="b">
        <f>IFERROR(__xludf.DUMMYFUNCTION("""COMPUTED_VALUE"""),TRUE)</f>
        <v>1</v>
      </c>
      <c r="Q24" s="171" t="b">
        <f>IFERROR(__xludf.DUMMYFUNCTION("""COMPUTED_VALUE"""),TRUE)</f>
        <v>1</v>
      </c>
      <c r="R24" s="41" t="str">
        <f>IFERROR(__xludf.DUMMYFUNCTION("""COMPUTED_VALUE"""),"")</f>
        <v/>
      </c>
      <c r="S24" s="170" t="str">
        <f>IFERROR(__xludf.DUMMYFUNCTION("""COMPUTED_VALUE"""),"Vocabulary (Context clues) ")</f>
        <v>Vocabulary (Context clues) </v>
      </c>
      <c r="T24" s="172" t="str">
        <f>IFERROR(__xludf.DUMMYFUNCTION("""COMPUTED_VALUE"""),"")</f>
        <v/>
      </c>
      <c r="U24" s="41" t="str">
        <f>IFERROR(__xludf.DUMMYFUNCTION("""COMPUTED_VALUE"""),"")</f>
        <v/>
      </c>
      <c r="V24" s="170" t="str">
        <f>IFERROR(__xludf.DUMMYFUNCTION("""COMPUTED_VALUE"""),"")</f>
        <v/>
      </c>
      <c r="W24" s="171" t="str">
        <f>IFERROR(__xludf.DUMMYFUNCTION("""COMPUTED_VALUE"""),"")</f>
        <v/>
      </c>
      <c r="X24" s="171" t="str">
        <f>IFERROR(__xludf.DUMMYFUNCTION("""COMPUTED_VALUE"""),"")</f>
        <v/>
      </c>
      <c r="Y24" s="171" t="str">
        <f>IFERROR(__xludf.DUMMYFUNCTION("""COMPUTED_VALUE"""),"")</f>
        <v/>
      </c>
      <c r="Z24" s="171" t="str">
        <f>IFERROR(__xludf.DUMMYFUNCTION("""COMPUTED_VALUE"""),"")</f>
        <v/>
      </c>
      <c r="AA24" s="41" t="str">
        <f>IFERROR(__xludf.DUMMYFUNCTION("""COMPUTED_VALUE"""),"")</f>
        <v/>
      </c>
      <c r="AB24" s="170" t="str">
        <f>IFERROR(__xludf.DUMMYFUNCTION("""COMPUTED_VALUE"""),"")</f>
        <v/>
      </c>
      <c r="AC24" s="172">
        <f>IFERROR(__xludf.DUMMYFUNCTION("""COMPUTED_VALUE"""),4.0)</f>
        <v>4</v>
      </c>
      <c r="AD24" s="41" t="str">
        <f>IFERROR(__xludf.DUMMYFUNCTION("""COMPUTED_VALUE"""),"RI.3.3")</f>
        <v>RI.3.3</v>
      </c>
      <c r="AE24" s="170" t="str">
        <f>IFERROR(__xludf.DUMMYFUNCTION("""COMPUTED_VALUE"""),"Describe the relationship between a series of historical events, scientific ideas or concepts, or steps in technical procedures in a text, using language that pertains to time, sequence, and cause/effect.")</f>
        <v>Describe the relationship between a series of historical events, scientific ideas or concepts, or steps in technical procedures in a text, using language that pertains to time, sequence, and cause/effect.</v>
      </c>
      <c r="AF24" s="171" t="b">
        <f>IFERROR(__xludf.DUMMYFUNCTION("""COMPUTED_VALUE"""),TRUE)</f>
        <v>1</v>
      </c>
      <c r="AG24" s="171" t="b">
        <f>IFERROR(__xludf.DUMMYFUNCTION("""COMPUTED_VALUE"""),TRUE)</f>
        <v>1</v>
      </c>
      <c r="AH24" s="171" t="b">
        <f>IFERROR(__xludf.DUMMYFUNCTION("""COMPUTED_VALUE"""),TRUE)</f>
        <v>1</v>
      </c>
      <c r="AI24" s="171" t="b">
        <f>IFERROR(__xludf.DUMMYFUNCTION("""COMPUTED_VALUE"""),TRUE)</f>
        <v>1</v>
      </c>
      <c r="AJ24" s="41" t="str">
        <f>IFERROR(__xludf.DUMMYFUNCTION("""COMPUTED_VALUE"""),"")</f>
        <v/>
      </c>
      <c r="AK24" s="170" t="str">
        <f>IFERROR(__xludf.DUMMYFUNCTION("""COMPUTED_VALUE"""),"Less focus on describe?")</f>
        <v>Less focus on describe?</v>
      </c>
      <c r="AL24" s="172">
        <f>IFERROR(__xludf.DUMMYFUNCTION("""COMPUTED_VALUE"""),4.0)</f>
        <v>4</v>
      </c>
      <c r="AM24" s="41" t="str">
        <f>IFERROR(__xludf.DUMMYFUNCTION("""COMPUTED_VALUE"""),"RI.4.3")</f>
        <v>RI.4.3</v>
      </c>
      <c r="AN24" s="170" t="str">
        <f>IFERROR(__xludf.DUMMYFUNCTION("""COMPUTED_VALUE"""),"Explain events, procedures, ideas, or concepts in a historical, scientific, or technical text, including what happened and why, based on specific information in the text.")</f>
        <v>Explain events, procedures, ideas, or concepts in a historical, scientific, or technical text, including what happened and why, based on specific information in the text.</v>
      </c>
      <c r="AO24" s="171" t="b">
        <f>IFERROR(__xludf.DUMMYFUNCTION("""COMPUTED_VALUE"""),TRUE)</f>
        <v>1</v>
      </c>
      <c r="AP24" s="171" t="b">
        <f>IFERROR(__xludf.DUMMYFUNCTION("""COMPUTED_VALUE"""),TRUE)</f>
        <v>1</v>
      </c>
      <c r="AQ24" s="171" t="b">
        <f>IFERROR(__xludf.DUMMYFUNCTION("""COMPUTED_VALUE"""),TRUE)</f>
        <v>1</v>
      </c>
      <c r="AR24" s="171" t="b">
        <f>IFERROR(__xludf.DUMMYFUNCTION("""COMPUTED_VALUE"""),TRUE)</f>
        <v>1</v>
      </c>
      <c r="AS24" s="41" t="str">
        <f>IFERROR(__xludf.DUMMYFUNCTION("""COMPUTED_VALUE"""),"")</f>
        <v/>
      </c>
      <c r="AT24" s="170" t="str">
        <f>IFERROR(__xludf.DUMMYFUNCTION("""COMPUTED_VALUE"""),"")</f>
        <v/>
      </c>
      <c r="AU24" s="172">
        <f>IFERROR(__xludf.DUMMYFUNCTION("""COMPUTED_VALUE"""),4.0)</f>
        <v>4</v>
      </c>
      <c r="AV24" s="41" t="str">
        <f>IFERROR(__xludf.DUMMYFUNCTION("""COMPUTED_VALUE"""),"RI.5.3")</f>
        <v>RI.5.3</v>
      </c>
      <c r="AW24" s="170" t="str">
        <f>IFERROR(__xludf.DUMMYFUNCTION("""COMPUTED_VALUE"""),"Explain the relationships or interactions between two or more individuals, events, ideas, or concepts in a historical, scientific, or technical text based on specific information in the text.")</f>
        <v>Explain the relationships or interactions between two or more individuals, events, ideas, or concepts in a historical, scientific, or technical text based on specific information in the text.</v>
      </c>
      <c r="AX24" s="171" t="b">
        <f>IFERROR(__xludf.DUMMYFUNCTION("""COMPUTED_VALUE"""),TRUE)</f>
        <v>1</v>
      </c>
      <c r="AY24" s="171" t="b">
        <f>IFERROR(__xludf.DUMMYFUNCTION("""COMPUTED_VALUE"""),TRUE)</f>
        <v>1</v>
      </c>
      <c r="AZ24" s="171" t="b">
        <f>IFERROR(__xludf.DUMMYFUNCTION("""COMPUTED_VALUE"""),TRUE)</f>
        <v>1</v>
      </c>
      <c r="BA24" s="171" t="b">
        <f>IFERROR(__xludf.DUMMYFUNCTION("""COMPUTED_VALUE"""),TRUE)</f>
        <v>1</v>
      </c>
      <c r="BB24" s="41" t="str">
        <f>IFERROR(__xludf.DUMMYFUNCTION("""COMPUTED_VALUE"""),"")</f>
        <v/>
      </c>
      <c r="BC24" s="170" t="str">
        <f>IFERROR(__xludf.DUMMYFUNCTION("""COMPUTED_VALUE"""),"R- 6th grade expects students to analyze how people and events are introduced; E- students will be expected to apply skill to more complex texts; A- we can assume; L- can be used in other subjects")</f>
        <v>R- 6th grade expects students to analyze how people and events are introduced; E- students will be expected to apply skill to more complex texts; A- we can assume; L- can be used in other subjects</v>
      </c>
      <c r="BD24" s="172">
        <f>IFERROR(__xludf.DUMMYFUNCTION("""COMPUTED_VALUE"""),4.0)</f>
        <v>4</v>
      </c>
      <c r="BE24" s="41" t="str">
        <f>IFERROR(__xludf.DUMMYFUNCTION("""COMPUTED_VALUE"""),"RI.6.3")</f>
        <v>RI.6.3</v>
      </c>
      <c r="BF24" s="170" t="str">
        <f>IFERROR(__xludf.DUMMYFUNCTION("""COMPUTED_VALUE"""),"Analyze in detail how a key individual, event, or idea is introduced, illustrated, and elaborated in a text (e.g., through examples or anecdotes).")</f>
        <v>Analyze in detail how a key individual, event, or idea is introduced, illustrated, and elaborated in a text (e.g., through examples or anecdotes).</v>
      </c>
      <c r="BG24" s="171" t="b">
        <f>IFERROR(__xludf.DUMMYFUNCTION("""COMPUTED_VALUE"""),TRUE)</f>
        <v>1</v>
      </c>
      <c r="BH24" s="171" t="b">
        <f>IFERROR(__xludf.DUMMYFUNCTION("""COMPUTED_VALUE"""),TRUE)</f>
        <v>1</v>
      </c>
      <c r="BI24" s="171" t="b">
        <f>IFERROR(__xludf.DUMMYFUNCTION("""COMPUTED_VALUE"""),TRUE)</f>
        <v>1</v>
      </c>
      <c r="BJ24" s="171" t="b">
        <f>IFERROR(__xludf.DUMMYFUNCTION("""COMPUTED_VALUE"""),TRUE)</f>
        <v>1</v>
      </c>
      <c r="BK24" s="41" t="str">
        <f>IFERROR(__xludf.DUMMYFUNCTION("""COMPUTED_VALUE"""),"")</f>
        <v/>
      </c>
      <c r="BL24" s="170" t="str">
        <f>IFERROR(__xludf.DUMMYFUNCTION("""COMPUTED_VALUE"""),"R-need in 6th because in 7th the students have to be able to analyze the interactions between people and events; E-students are expected to apply skill to more complex text; A-we can assume;L-can be used in other subjects")</f>
        <v>R-need in 6th because in 7th the students have to be able to analyze the interactions between people and events; E-students are expected to apply skill to more complex text; A-we can assume;L-can be used in other subjects</v>
      </c>
    </row>
    <row r="25">
      <c r="A25" s="42"/>
      <c r="B25" s="31"/>
      <c r="C25" s="41"/>
      <c r="D25" s="170"/>
      <c r="E25" s="171"/>
      <c r="F25" s="171"/>
      <c r="G25" s="171"/>
      <c r="H25" s="171"/>
      <c r="I25" s="41"/>
      <c r="J25" s="170"/>
      <c r="K25" s="172">
        <f>IFERROR(__xludf.DUMMYFUNCTION("""COMPUTED_VALUE"""),4.0)</f>
        <v>4</v>
      </c>
      <c r="L25" s="41" t="str">
        <f>IFERROR(__xludf.DUMMYFUNCTION("""COMPUTED_VALUE"""),"RI.1.5")</f>
        <v>RI.1.5</v>
      </c>
      <c r="M25" s="170" t="str">
        <f>IFERROR(__xludf.DUMMYFUNCTION("""COMPUTED_VALUE"""),"Know and use various text features (e.g., headings, tables of contents, glossaries, electronic menus, icons) to locate key facts or information in a text")</f>
        <v>Know and use various text features (e.g., headings, tables of contents, glossaries, electronic menus, icons) to locate key facts or information in a text</v>
      </c>
      <c r="N25" s="171" t="b">
        <f>IFERROR(__xludf.DUMMYFUNCTION("""COMPUTED_VALUE"""),TRUE)</f>
        <v>1</v>
      </c>
      <c r="O25" s="171" t="b">
        <f>IFERROR(__xludf.DUMMYFUNCTION("""COMPUTED_VALUE"""),TRUE)</f>
        <v>1</v>
      </c>
      <c r="P25" s="171" t="b">
        <f>IFERROR(__xludf.DUMMYFUNCTION("""COMPUTED_VALUE"""),TRUE)</f>
        <v>1</v>
      </c>
      <c r="Q25" s="171" t="b">
        <f>IFERROR(__xludf.DUMMYFUNCTION("""COMPUTED_VALUE"""),TRUE)</f>
        <v>1</v>
      </c>
      <c r="R25" s="41" t="str">
        <f>IFERROR(__xludf.DUMMYFUNCTION("""COMPUTED_VALUE"""),"")</f>
        <v/>
      </c>
      <c r="S25" s="170" t="str">
        <f>IFERROR(__xludf.DUMMYFUNCTION("""COMPUTED_VALUE"""),"Text features are used at all grade levels ")</f>
        <v>Text features are used at all grade levels </v>
      </c>
      <c r="T25" s="172"/>
      <c r="U25" s="41"/>
      <c r="V25" s="170"/>
      <c r="W25" s="171"/>
      <c r="X25" s="171"/>
      <c r="Y25" s="171"/>
      <c r="Z25" s="171"/>
      <c r="AA25" s="41"/>
      <c r="AB25" s="170"/>
      <c r="AC25" s="172">
        <f>IFERROR(__xludf.DUMMYFUNCTION("""COMPUTED_VALUE"""),4.0)</f>
        <v>4</v>
      </c>
      <c r="AD25" s="41" t="str">
        <f>IFERROR(__xludf.DUMMYFUNCTION("""COMPUTED_VALUE"""),"RI.3.4")</f>
        <v>RI.3.4</v>
      </c>
      <c r="AE25" s="170" t="str">
        <f>IFERROR(__xludf.DUMMYFUNCTION("""COMPUTED_VALUE"""),"Determine the meaning of general academic and domain-specific words and phrases in a text relevant to a grade 3 topic or subject area.")</f>
        <v>Determine the meaning of general academic and domain-specific words and phrases in a text relevant to a grade 3 topic or subject area.</v>
      </c>
      <c r="AF25" s="171" t="b">
        <f>IFERROR(__xludf.DUMMYFUNCTION("""COMPUTED_VALUE"""),TRUE)</f>
        <v>1</v>
      </c>
      <c r="AG25" s="171" t="b">
        <f>IFERROR(__xludf.DUMMYFUNCTION("""COMPUTED_VALUE"""),TRUE)</f>
        <v>1</v>
      </c>
      <c r="AH25" s="171" t="b">
        <f>IFERROR(__xludf.DUMMYFUNCTION("""COMPUTED_VALUE"""),TRUE)</f>
        <v>1</v>
      </c>
      <c r="AI25" s="171" t="b">
        <f>IFERROR(__xludf.DUMMYFUNCTION("""COMPUTED_VALUE"""),TRUE)</f>
        <v>1</v>
      </c>
      <c r="AJ25" s="41" t="str">
        <f>IFERROR(__xludf.DUMMYFUNCTION("""COMPUTED_VALUE"""),"")</f>
        <v/>
      </c>
      <c r="AK25" s="170" t="str">
        <f>IFERROR(__xludf.DUMMYFUNCTION("""COMPUTED_VALUE"""),"")</f>
        <v/>
      </c>
      <c r="AL25" s="172">
        <f>IFERROR(__xludf.DUMMYFUNCTION("""COMPUTED_VALUE"""),4.0)</f>
        <v>4</v>
      </c>
      <c r="AM25" s="41" t="str">
        <f>IFERROR(__xludf.DUMMYFUNCTION("""COMPUTED_VALUE"""),"RI.4.4")</f>
        <v>RI.4.4</v>
      </c>
      <c r="AN25" s="170" t="str">
        <f>IFERROR(__xludf.DUMMYFUNCTION("""COMPUTED_VALUE"""),"Determine the meaning of general academic and domain-specific words or phrases in a text relevant to a grade 4 topic or subject area.")</f>
        <v>Determine the meaning of general academic and domain-specific words or phrases in a text relevant to a grade 4 topic or subject area.</v>
      </c>
      <c r="AO25" s="171" t="b">
        <f>IFERROR(__xludf.DUMMYFUNCTION("""COMPUTED_VALUE"""),TRUE)</f>
        <v>1</v>
      </c>
      <c r="AP25" s="171" t="b">
        <f>IFERROR(__xludf.DUMMYFUNCTION("""COMPUTED_VALUE"""),TRUE)</f>
        <v>1</v>
      </c>
      <c r="AQ25" s="171" t="b">
        <f>IFERROR(__xludf.DUMMYFUNCTION("""COMPUTED_VALUE"""),TRUE)</f>
        <v>1</v>
      </c>
      <c r="AR25" s="171" t="b">
        <f>IFERROR(__xludf.DUMMYFUNCTION("""COMPUTED_VALUE"""),TRUE)</f>
        <v>1</v>
      </c>
      <c r="AS25" s="41" t="str">
        <f>IFERROR(__xludf.DUMMYFUNCTION("""COMPUTED_VALUE"""),"")</f>
        <v/>
      </c>
      <c r="AT25" s="170" t="str">
        <f>IFERROR(__xludf.DUMMYFUNCTION("""COMPUTED_VALUE"""),"")</f>
        <v/>
      </c>
      <c r="AU25" s="172">
        <f>IFERROR(__xludf.DUMMYFUNCTION("""COMPUTED_VALUE"""),4.0)</f>
        <v>4</v>
      </c>
      <c r="AV25" s="41" t="str">
        <f>IFERROR(__xludf.DUMMYFUNCTION("""COMPUTED_VALUE"""),"RI.5.4")</f>
        <v>RI.5.4</v>
      </c>
      <c r="AW25" s="170" t="str">
        <f>IFERROR(__xludf.DUMMYFUNCTION("""COMPUTED_VALUE"""),"Determine the meaning of general academic and domain-specific words and phrases in a text relevant to a grade 5 topic or subject area.")</f>
        <v>Determine the meaning of general academic and domain-specific words and phrases in a text relevant to a grade 5 topic or subject area.</v>
      </c>
      <c r="AX25" s="171" t="b">
        <f>IFERROR(__xludf.DUMMYFUNCTION("""COMPUTED_VALUE"""),TRUE)</f>
        <v>1</v>
      </c>
      <c r="AY25" s="171" t="b">
        <f>IFERROR(__xludf.DUMMYFUNCTION("""COMPUTED_VALUE"""),TRUE)</f>
        <v>1</v>
      </c>
      <c r="AZ25" s="171" t="b">
        <f>IFERROR(__xludf.DUMMYFUNCTION("""COMPUTED_VALUE"""),TRUE)</f>
        <v>1</v>
      </c>
      <c r="BA25" s="171" t="b">
        <f>IFERROR(__xludf.DUMMYFUNCTION("""COMPUTED_VALUE"""),TRUE)</f>
        <v>1</v>
      </c>
      <c r="BB25" s="41" t="str">
        <f>IFERROR(__xludf.DUMMYFUNCTION("""COMPUTED_VALUE"""),"")</f>
        <v/>
      </c>
      <c r="BC25" s="170" t="str">
        <f>IFERROR(__xludf.DUMMYFUNCTION("""COMPUTED_VALUE"""),"R- 6th grade expects students to understand how figurative and connotative language are used in informational text; E- as texts become more complex, students will have to analyze the impact of language in a text; A- we can assume; L- can be used in other "&amp;"subjects")</f>
        <v>R- 6th grade expects students to understand how figurative and connotative language are used in informational text; E- as texts become more complex, students will have to analyze the impact of language in a text; A- we can assume; L- can be used in other subjects</v>
      </c>
      <c r="BD25" s="172">
        <f>IFERROR(__xludf.DUMMYFUNCTION("""COMPUTED_VALUE"""),4.0)</f>
        <v>4</v>
      </c>
      <c r="BE25" s="41" t="str">
        <f>IFERROR(__xludf.DUMMYFUNCTION("""COMPUTED_VALUE"""),"RI.6.4")</f>
        <v>RI.6.4</v>
      </c>
      <c r="BF25" s="170" t="str">
        <f>IFERROR(__xludf.DUMMYFUNCTION("""COMPUTED_VALUE"""),"Determine the meaning of words and phrases as they are used in a text, including figurative, connotative, and technical meanings.")</f>
        <v>Determine the meaning of words and phrases as they are used in a text, including figurative, connotative, and technical meanings.</v>
      </c>
      <c r="BG25" s="171" t="b">
        <f>IFERROR(__xludf.DUMMYFUNCTION("""COMPUTED_VALUE"""),TRUE)</f>
        <v>1</v>
      </c>
      <c r="BH25" s="171" t="b">
        <f>IFERROR(__xludf.DUMMYFUNCTION("""COMPUTED_VALUE"""),TRUE)</f>
        <v>1</v>
      </c>
      <c r="BI25" s="171" t="b">
        <f>IFERROR(__xludf.DUMMYFUNCTION("""COMPUTED_VALUE"""),TRUE)</f>
        <v>1</v>
      </c>
      <c r="BJ25" s="171" t="b">
        <f>IFERROR(__xludf.DUMMYFUNCTION("""COMPUTED_VALUE"""),TRUE)</f>
        <v>1</v>
      </c>
      <c r="BK25" s="41" t="str">
        <f>IFERROR(__xludf.DUMMYFUNCTION("""COMPUTED_VALUE"""),"")</f>
        <v/>
      </c>
      <c r="BL25" s="170" t="str">
        <f>IFERROR(__xludf.DUMMYFUNCTION("""COMPUTED_VALUE"""),"R-need in 6th because in 7th students are expected to  analyze the impact of a specific word choice on meaning and tone;E-as texts become more complex, students will have to analyze the impact of language in a text; A-we can assume; L-can be used in other"&amp;" subjects ")</f>
        <v>R-need in 6th because in 7th students are expected to  analyze the impact of a specific word choice on meaning and tone;E-as texts become more complex, students will have to analyze the impact of language in a text; A-we can assume; L-can be used in other subjects </v>
      </c>
    </row>
    <row r="26">
      <c r="A26" s="42"/>
      <c r="B26" s="31"/>
      <c r="C26" s="41"/>
      <c r="D26" s="170"/>
      <c r="E26" s="171"/>
      <c r="F26" s="171"/>
      <c r="G26" s="171"/>
      <c r="H26" s="171"/>
      <c r="I26" s="41"/>
      <c r="J26" s="170"/>
      <c r="K26" s="172"/>
      <c r="L26" s="41"/>
      <c r="M26" s="170"/>
      <c r="N26" s="171"/>
      <c r="O26" s="171"/>
      <c r="P26" s="171"/>
      <c r="Q26" s="171"/>
      <c r="R26" s="41"/>
      <c r="S26" s="170"/>
      <c r="T26" s="172"/>
      <c r="U26" s="41"/>
      <c r="V26" s="170"/>
      <c r="W26" s="171"/>
      <c r="X26" s="171"/>
      <c r="Y26" s="171"/>
      <c r="Z26" s="171"/>
      <c r="AA26" s="41"/>
      <c r="AB26" s="170"/>
      <c r="AC26" s="172">
        <f>IFERROR(__xludf.DUMMYFUNCTION("""COMPUTED_VALUE"""),4.0)</f>
        <v>4</v>
      </c>
      <c r="AD26" s="41" t="str">
        <f>IFERROR(__xludf.DUMMYFUNCTION("""COMPUTED_VALUE"""),"RI.3.5")</f>
        <v>RI.3.5</v>
      </c>
      <c r="AE26" s="170" t="str">
        <f>IFERROR(__xludf.DUMMYFUNCTION("""COMPUTED_VALUE"""),"Use text features and search tools (e.g., key words, sidebars, hyperlinks) to locate information relevant to a given topic efficiently.")</f>
        <v>Use text features and search tools (e.g., key words, sidebars, hyperlinks) to locate information relevant to a given topic efficiently.</v>
      </c>
      <c r="AF26" s="171" t="b">
        <f>IFERROR(__xludf.DUMMYFUNCTION("""COMPUTED_VALUE"""),TRUE)</f>
        <v>1</v>
      </c>
      <c r="AG26" s="171" t="b">
        <f>IFERROR(__xludf.DUMMYFUNCTION("""COMPUTED_VALUE"""),TRUE)</f>
        <v>1</v>
      </c>
      <c r="AH26" s="171" t="b">
        <f>IFERROR(__xludf.DUMMYFUNCTION("""COMPUTED_VALUE"""),TRUE)</f>
        <v>1</v>
      </c>
      <c r="AI26" s="171" t="b">
        <f>IFERROR(__xludf.DUMMYFUNCTION("""COMPUTED_VALUE"""),TRUE)</f>
        <v>1</v>
      </c>
      <c r="AJ26" s="41" t="str">
        <f>IFERROR(__xludf.DUMMYFUNCTION("""COMPUTED_VALUE"""),"")</f>
        <v/>
      </c>
      <c r="AK26" s="170" t="str">
        <f>IFERROR(__xludf.DUMMYFUNCTION("""COMPUTED_VALUE"""),"Focus on the use of text features")</f>
        <v>Focus on the use of text features</v>
      </c>
      <c r="AL26" s="172" t="str">
        <f>IFERROR(__xludf.DUMMYFUNCTION("""COMPUTED_VALUE"""),"")</f>
        <v/>
      </c>
      <c r="AM26" s="41" t="str">
        <f>IFERROR(__xludf.DUMMYFUNCTION("""COMPUTED_VALUE"""),"")</f>
        <v/>
      </c>
      <c r="AN26" s="170" t="str">
        <f>IFERROR(__xludf.DUMMYFUNCTION("""COMPUTED_VALUE"""),"")</f>
        <v/>
      </c>
      <c r="AO26" s="171" t="str">
        <f>IFERROR(__xludf.DUMMYFUNCTION("""COMPUTED_VALUE"""),"")</f>
        <v/>
      </c>
      <c r="AP26" s="171" t="str">
        <f>IFERROR(__xludf.DUMMYFUNCTION("""COMPUTED_VALUE"""),"")</f>
        <v/>
      </c>
      <c r="AQ26" s="171" t="str">
        <f>IFERROR(__xludf.DUMMYFUNCTION("""COMPUTED_VALUE"""),"")</f>
        <v/>
      </c>
      <c r="AR26" s="171" t="str">
        <f>IFERROR(__xludf.DUMMYFUNCTION("""COMPUTED_VALUE"""),"")</f>
        <v/>
      </c>
      <c r="AS26" s="41" t="str">
        <f>IFERROR(__xludf.DUMMYFUNCTION("""COMPUTED_VALUE"""),"")</f>
        <v/>
      </c>
      <c r="AT26" s="170" t="str">
        <f>IFERROR(__xludf.DUMMYFUNCTION("""COMPUTED_VALUE"""),"")</f>
        <v/>
      </c>
      <c r="AU26" s="172" t="str">
        <f>IFERROR(__xludf.DUMMYFUNCTION("""COMPUTED_VALUE"""),"")</f>
        <v/>
      </c>
      <c r="AV26" s="41" t="str">
        <f>IFERROR(__xludf.DUMMYFUNCTION("""COMPUTED_VALUE"""),"")</f>
        <v/>
      </c>
      <c r="AW26" s="170" t="str">
        <f>IFERROR(__xludf.DUMMYFUNCTION("""COMPUTED_VALUE"""),"")</f>
        <v/>
      </c>
      <c r="AX26" s="171" t="str">
        <f>IFERROR(__xludf.DUMMYFUNCTION("""COMPUTED_VALUE"""),"")</f>
        <v/>
      </c>
      <c r="AY26" s="171" t="str">
        <f>IFERROR(__xludf.DUMMYFUNCTION("""COMPUTED_VALUE"""),"")</f>
        <v/>
      </c>
      <c r="AZ26" s="171" t="str">
        <f>IFERROR(__xludf.DUMMYFUNCTION("""COMPUTED_VALUE"""),"")</f>
        <v/>
      </c>
      <c r="BA26" s="171" t="str">
        <f>IFERROR(__xludf.DUMMYFUNCTION("""COMPUTED_VALUE"""),"")</f>
        <v/>
      </c>
      <c r="BB26" s="41" t="str">
        <f>IFERROR(__xludf.DUMMYFUNCTION("""COMPUTED_VALUE"""),"")</f>
        <v/>
      </c>
      <c r="BC26" s="170" t="str">
        <f>IFERROR(__xludf.DUMMYFUNCTION("""COMPUTED_VALUE"""),"")</f>
        <v/>
      </c>
      <c r="BD26" s="172" t="str">
        <f>IFERROR(__xludf.DUMMYFUNCTION("""COMPUTED_VALUE"""),"")</f>
        <v/>
      </c>
      <c r="BE26" s="41" t="str">
        <f>IFERROR(__xludf.DUMMYFUNCTION("""COMPUTED_VALUE"""),"")</f>
        <v/>
      </c>
      <c r="BF26" s="170" t="str">
        <f>IFERROR(__xludf.DUMMYFUNCTION("""COMPUTED_VALUE"""),"")</f>
        <v/>
      </c>
      <c r="BG26" s="171" t="str">
        <f>IFERROR(__xludf.DUMMYFUNCTION("""COMPUTED_VALUE"""),"")</f>
        <v/>
      </c>
      <c r="BH26" s="171" t="str">
        <f>IFERROR(__xludf.DUMMYFUNCTION("""COMPUTED_VALUE"""),"")</f>
        <v/>
      </c>
      <c r="BI26" s="171" t="str">
        <f>IFERROR(__xludf.DUMMYFUNCTION("""COMPUTED_VALUE"""),"")</f>
        <v/>
      </c>
      <c r="BJ26" s="171" t="str">
        <f>IFERROR(__xludf.DUMMYFUNCTION("""COMPUTED_VALUE"""),"")</f>
        <v/>
      </c>
      <c r="BK26" s="41" t="str">
        <f>IFERROR(__xludf.DUMMYFUNCTION("""COMPUTED_VALUE"""),"")</f>
        <v/>
      </c>
      <c r="BL26" s="170" t="str">
        <f>IFERROR(__xludf.DUMMYFUNCTION("""COMPUTED_VALUE"""),"")</f>
        <v/>
      </c>
    </row>
    <row r="27">
      <c r="A27" s="42"/>
      <c r="B27" s="31"/>
      <c r="C27" s="41"/>
      <c r="D27" s="170"/>
      <c r="E27" s="171"/>
      <c r="F27" s="171"/>
      <c r="G27" s="171"/>
      <c r="H27" s="171"/>
      <c r="I27" s="41"/>
      <c r="J27" s="170"/>
      <c r="K27" s="172"/>
      <c r="L27" s="41"/>
      <c r="M27" s="170"/>
      <c r="N27" s="171"/>
      <c r="O27" s="171"/>
      <c r="P27" s="171"/>
      <c r="Q27" s="171"/>
      <c r="R27" s="41"/>
      <c r="S27" s="170"/>
      <c r="T27" s="172"/>
      <c r="U27" s="41"/>
      <c r="V27" s="170"/>
      <c r="W27" s="171"/>
      <c r="X27" s="171"/>
      <c r="Y27" s="171"/>
      <c r="Z27" s="171"/>
      <c r="AA27" s="41"/>
      <c r="AB27" s="170"/>
      <c r="AC27" s="172" t="str">
        <f>IFERROR(__xludf.DUMMYFUNCTION("""COMPUTED_VALUE"""),"")</f>
        <v/>
      </c>
      <c r="AD27" s="41" t="str">
        <f>IFERROR(__xludf.DUMMYFUNCTION("""COMPUTED_VALUE"""),"")</f>
        <v/>
      </c>
      <c r="AE27" s="170" t="str">
        <f>IFERROR(__xludf.DUMMYFUNCTION("""COMPUTED_VALUE"""),"")</f>
        <v/>
      </c>
      <c r="AF27" s="171" t="str">
        <f>IFERROR(__xludf.DUMMYFUNCTION("""COMPUTED_VALUE"""),"")</f>
        <v/>
      </c>
      <c r="AG27" s="171" t="str">
        <f>IFERROR(__xludf.DUMMYFUNCTION("""COMPUTED_VALUE"""),"")</f>
        <v/>
      </c>
      <c r="AH27" s="171" t="str">
        <f>IFERROR(__xludf.DUMMYFUNCTION("""COMPUTED_VALUE"""),"")</f>
        <v/>
      </c>
      <c r="AI27" s="171" t="str">
        <f>IFERROR(__xludf.DUMMYFUNCTION("""COMPUTED_VALUE"""),"")</f>
        <v/>
      </c>
      <c r="AJ27" s="41" t="str">
        <f>IFERROR(__xludf.DUMMYFUNCTION("""COMPUTED_VALUE"""),"")</f>
        <v/>
      </c>
      <c r="AK27" s="170" t="str">
        <f>IFERROR(__xludf.DUMMYFUNCTION("""COMPUTED_VALUE"""),"")</f>
        <v/>
      </c>
      <c r="AL27" s="172">
        <f>IFERROR(__xludf.DUMMYFUNCTION("""COMPUTED_VALUE"""),4.0)</f>
        <v>4</v>
      </c>
      <c r="AM27" s="41" t="str">
        <f>IFERROR(__xludf.DUMMYFUNCTION("""COMPUTED_VALUE"""),"RI.4.7")</f>
        <v>RI.4.7</v>
      </c>
      <c r="AN27" s="170" t="str">
        <f>IFERROR(__xludf.DUMMYFUNCTION("""COMPUTED_VALUE"""),"Interpret information presented visually, orally, or quantitatively (e.g., in charts, graphs, diagrams, time lines, animations, or interactive elements on Web pages) and explain how the information contributes to an understanding of the text in which it a"&amp;"ppears")</f>
        <v>Interpret information presented visually, orally, or quantitatively (e.g., in charts, graphs, diagrams, time lines, animations, or interactive elements on Web pages) and explain how the information contributes to an understanding of the text in which it appears</v>
      </c>
      <c r="AO27" s="171" t="b">
        <f>IFERROR(__xludf.DUMMYFUNCTION("""COMPUTED_VALUE"""),TRUE)</f>
        <v>1</v>
      </c>
      <c r="AP27" s="171" t="b">
        <f>IFERROR(__xludf.DUMMYFUNCTION("""COMPUTED_VALUE"""),TRUE)</f>
        <v>1</v>
      </c>
      <c r="AQ27" s="171" t="b">
        <f>IFERROR(__xludf.DUMMYFUNCTION("""COMPUTED_VALUE"""),TRUE)</f>
        <v>1</v>
      </c>
      <c r="AR27" s="171" t="b">
        <f>IFERROR(__xludf.DUMMYFUNCTION("""COMPUTED_VALUE"""),TRUE)</f>
        <v>1</v>
      </c>
      <c r="AS27" s="41" t="str">
        <f>IFERROR(__xludf.DUMMYFUNCTION("""COMPUTED_VALUE"""),"")</f>
        <v/>
      </c>
      <c r="AT27" s="170" t="str">
        <f>IFERROR(__xludf.DUMMYFUNCTION("""COMPUTED_VALUE"""),"")</f>
        <v/>
      </c>
      <c r="AU27" s="172"/>
      <c r="AV27" s="41"/>
      <c r="AW27" s="170"/>
      <c r="AX27" s="171"/>
      <c r="AY27" s="171"/>
      <c r="AZ27" s="171"/>
      <c r="BA27" s="171"/>
      <c r="BB27" s="41"/>
      <c r="BC27" s="170"/>
      <c r="BD27" s="172"/>
      <c r="BE27" s="41"/>
      <c r="BF27" s="170"/>
      <c r="BG27" s="171"/>
      <c r="BH27" s="171"/>
      <c r="BI27" s="171"/>
      <c r="BJ27" s="171"/>
      <c r="BK27" s="41"/>
      <c r="BL27" s="170"/>
    </row>
    <row r="28">
      <c r="A28" s="42"/>
      <c r="B28" s="31"/>
      <c r="C28" s="41"/>
      <c r="D28" s="170"/>
      <c r="E28" s="171"/>
      <c r="F28" s="171"/>
      <c r="G28" s="171"/>
      <c r="H28" s="171"/>
      <c r="I28" s="41"/>
      <c r="J28" s="170"/>
      <c r="K28" s="172"/>
      <c r="L28" s="41"/>
      <c r="M28" s="170"/>
      <c r="N28" s="171"/>
      <c r="O28" s="171"/>
      <c r="P28" s="171"/>
      <c r="Q28" s="171"/>
      <c r="R28" s="41"/>
      <c r="S28" s="170"/>
      <c r="T28" s="172"/>
      <c r="U28" s="41"/>
      <c r="V28" s="170"/>
      <c r="W28" s="171"/>
      <c r="X28" s="171"/>
      <c r="Y28" s="171"/>
      <c r="Z28" s="171"/>
      <c r="AA28" s="41"/>
      <c r="AB28" s="170"/>
      <c r="AC28" s="172">
        <f>IFERROR(__xludf.DUMMYFUNCTION("""COMPUTED_VALUE"""),4.0)</f>
        <v>4</v>
      </c>
      <c r="AD28" s="41" t="str">
        <f>IFERROR(__xludf.DUMMYFUNCTION("""COMPUTED_VALUE"""),"RI.3.7")</f>
        <v>RI.3.7</v>
      </c>
      <c r="AE28" s="170" t="str">
        <f>IFERROR(__xludf.DUMMYFUNCTION("""COMPUTED_VALUE"""),"Use information gained from illustrations (e.g., maps, photographs) and the words in a text to demonstrate understanding of the text (e.g., where, when, why, and how key events occur).")</f>
        <v>Use information gained from illustrations (e.g., maps, photographs) and the words in a text to demonstrate understanding of the text (e.g., where, when, why, and how key events occur).</v>
      </c>
      <c r="AF28" s="171" t="b">
        <f>IFERROR(__xludf.DUMMYFUNCTION("""COMPUTED_VALUE"""),TRUE)</f>
        <v>1</v>
      </c>
      <c r="AG28" s="171" t="b">
        <f>IFERROR(__xludf.DUMMYFUNCTION("""COMPUTED_VALUE"""),TRUE)</f>
        <v>1</v>
      </c>
      <c r="AH28" s="171" t="b">
        <f>IFERROR(__xludf.DUMMYFUNCTION("""COMPUTED_VALUE"""),TRUE)</f>
        <v>1</v>
      </c>
      <c r="AI28" s="171" t="b">
        <f>IFERROR(__xludf.DUMMYFUNCTION("""COMPUTED_VALUE"""),TRUE)</f>
        <v>1</v>
      </c>
      <c r="AJ28" s="41" t="str">
        <f>IFERROR(__xludf.DUMMYFUNCTION("""COMPUTED_VALUE"""),"")</f>
        <v/>
      </c>
      <c r="AK28" s="170" t="str">
        <f>IFERROR(__xludf.DUMMYFUNCTION("""COMPUTED_VALUE"""),"")</f>
        <v/>
      </c>
      <c r="AL28" s="172">
        <f>IFERROR(__xludf.DUMMYFUNCTION("""COMPUTED_VALUE"""),4.0)</f>
        <v>4</v>
      </c>
      <c r="AM28" s="41" t="str">
        <f>IFERROR(__xludf.DUMMYFUNCTION("""COMPUTED_VALUE"""),"RI.4.9")</f>
        <v>RI.4.9</v>
      </c>
      <c r="AN28" s="170" t="str">
        <f>IFERROR(__xludf.DUMMYFUNCTION("""COMPUTED_VALUE"""),"Integrate information from two texts on the same topic in order to write or speak about the subject knowledgeably.")</f>
        <v>Integrate information from two texts on the same topic in order to write or speak about the subject knowledgeably.</v>
      </c>
      <c r="AO28" s="171" t="b">
        <f>IFERROR(__xludf.DUMMYFUNCTION("""COMPUTED_VALUE"""),TRUE)</f>
        <v>1</v>
      </c>
      <c r="AP28" s="171" t="b">
        <f>IFERROR(__xludf.DUMMYFUNCTION("""COMPUTED_VALUE"""),TRUE)</f>
        <v>1</v>
      </c>
      <c r="AQ28" s="171" t="b">
        <f>IFERROR(__xludf.DUMMYFUNCTION("""COMPUTED_VALUE"""),TRUE)</f>
        <v>1</v>
      </c>
      <c r="AR28" s="171" t="b">
        <f>IFERROR(__xludf.DUMMYFUNCTION("""COMPUTED_VALUE"""),TRUE)</f>
        <v>1</v>
      </c>
      <c r="AS28" s="41" t="str">
        <f>IFERROR(__xludf.DUMMYFUNCTION("""COMPUTED_VALUE"""),"")</f>
        <v/>
      </c>
      <c r="AT28" s="170" t="str">
        <f>IFERROR(__xludf.DUMMYFUNCTION("""COMPUTED_VALUE"""),"DOK 3")</f>
        <v>DOK 3</v>
      </c>
      <c r="AU28" s="172"/>
      <c r="AV28" s="41"/>
      <c r="AW28" s="170"/>
      <c r="AX28" s="171"/>
      <c r="AY28" s="171"/>
      <c r="AZ28" s="171"/>
      <c r="BA28" s="171"/>
      <c r="BB28" s="41"/>
      <c r="BC28" s="170"/>
      <c r="BD28" s="172"/>
      <c r="BE28" s="41"/>
      <c r="BF28" s="170"/>
      <c r="BG28" s="171"/>
      <c r="BH28" s="171"/>
      <c r="BI28" s="171"/>
      <c r="BJ28" s="171"/>
      <c r="BK28" s="41"/>
      <c r="BL28" s="170"/>
    </row>
    <row r="29">
      <c r="A29" s="42"/>
      <c r="B29" s="31"/>
      <c r="C29" s="41"/>
      <c r="D29" s="170"/>
      <c r="E29" s="171"/>
      <c r="F29" s="171"/>
      <c r="G29" s="171"/>
      <c r="H29" s="171"/>
      <c r="I29" s="41"/>
      <c r="J29" s="170"/>
      <c r="K29" s="172"/>
      <c r="L29" s="41"/>
      <c r="M29" s="170"/>
      <c r="N29" s="171"/>
      <c r="O29" s="171"/>
      <c r="P29" s="171"/>
      <c r="Q29" s="171"/>
      <c r="R29" s="41"/>
      <c r="S29" s="170"/>
      <c r="T29" s="172"/>
      <c r="U29" s="41"/>
      <c r="V29" s="170"/>
      <c r="W29" s="171"/>
      <c r="X29" s="171"/>
      <c r="Y29" s="171"/>
      <c r="Z29" s="171"/>
      <c r="AA29" s="41"/>
      <c r="AB29" s="170"/>
      <c r="AC29" s="172">
        <f>IFERROR(__xludf.DUMMYFUNCTION("""COMPUTED_VALUE"""),4.0)</f>
        <v>4</v>
      </c>
      <c r="AD29" s="41" t="str">
        <f>IFERROR(__xludf.DUMMYFUNCTION("""COMPUTED_VALUE"""),"RI.3.9")</f>
        <v>RI.3.9</v>
      </c>
      <c r="AE29" s="170" t="str">
        <f>IFERROR(__xludf.DUMMYFUNCTION("""COMPUTED_VALUE"""),"Compare and contrast the most important points and key details presented in two texts on the same topic.")</f>
        <v>Compare and contrast the most important points and key details presented in two texts on the same topic.</v>
      </c>
      <c r="AF29" s="171" t="b">
        <f>IFERROR(__xludf.DUMMYFUNCTION("""COMPUTED_VALUE"""),TRUE)</f>
        <v>1</v>
      </c>
      <c r="AG29" s="171" t="b">
        <f>IFERROR(__xludf.DUMMYFUNCTION("""COMPUTED_VALUE"""),TRUE)</f>
        <v>1</v>
      </c>
      <c r="AH29" s="171" t="b">
        <f>IFERROR(__xludf.DUMMYFUNCTION("""COMPUTED_VALUE"""),TRUE)</f>
        <v>1</v>
      </c>
      <c r="AI29" s="171" t="b">
        <f>IFERROR(__xludf.DUMMYFUNCTION("""COMPUTED_VALUE"""),TRUE)</f>
        <v>1</v>
      </c>
      <c r="AJ29" s="41" t="str">
        <f>IFERROR(__xludf.DUMMYFUNCTION("""COMPUTED_VALUE"""),"")</f>
        <v/>
      </c>
      <c r="AK29" s="170" t="str">
        <f>IFERROR(__xludf.DUMMYFUNCTION("""COMPUTED_VALUE"""),"")</f>
        <v/>
      </c>
      <c r="AL29" s="172"/>
      <c r="AM29" s="41"/>
      <c r="AN29" s="170"/>
      <c r="AO29" s="171"/>
      <c r="AP29" s="171"/>
      <c r="AQ29" s="171"/>
      <c r="AR29" s="171"/>
      <c r="AS29" s="41"/>
      <c r="AT29" s="170"/>
      <c r="AU29" s="172"/>
      <c r="AV29" s="41"/>
      <c r="AW29" s="170"/>
      <c r="AX29" s="171"/>
      <c r="AY29" s="171"/>
      <c r="AZ29" s="171"/>
      <c r="BA29" s="171"/>
      <c r="BB29" s="41"/>
      <c r="BC29" s="170"/>
      <c r="BD29" s="172"/>
      <c r="BE29" s="41"/>
      <c r="BF29" s="170"/>
      <c r="BG29" s="171"/>
      <c r="BH29" s="171"/>
      <c r="BI29" s="171"/>
      <c r="BJ29" s="171"/>
      <c r="BK29" s="41"/>
      <c r="BL29" s="170"/>
    </row>
    <row r="30">
      <c r="A30" s="42"/>
      <c r="B30" s="31"/>
      <c r="C30" s="41"/>
      <c r="D30" s="170"/>
      <c r="E30" s="171"/>
      <c r="F30" s="171"/>
      <c r="G30" s="171"/>
      <c r="H30" s="171"/>
      <c r="I30" s="41"/>
      <c r="J30" s="170"/>
      <c r="K30" s="172"/>
      <c r="L30" s="41"/>
      <c r="M30" s="170"/>
      <c r="N30" s="171"/>
      <c r="O30" s="171"/>
      <c r="P30" s="171"/>
      <c r="Q30" s="171"/>
      <c r="R30" s="41"/>
      <c r="S30" s="170"/>
      <c r="T30" s="172"/>
      <c r="U30" s="41"/>
      <c r="V30" s="170"/>
      <c r="W30" s="171"/>
      <c r="X30" s="171"/>
      <c r="Y30" s="171"/>
      <c r="Z30" s="171"/>
      <c r="AA30" s="41"/>
      <c r="AB30" s="170"/>
      <c r="AC30" s="172"/>
      <c r="AD30" s="41"/>
      <c r="AE30" s="170"/>
      <c r="AF30" s="171"/>
      <c r="AG30" s="171"/>
      <c r="AH30" s="171"/>
      <c r="AI30" s="171"/>
      <c r="AJ30" s="41"/>
      <c r="AK30" s="170"/>
      <c r="AL30" s="172"/>
      <c r="AM30" s="41"/>
      <c r="AN30" s="170"/>
      <c r="AO30" s="171"/>
      <c r="AP30" s="171"/>
      <c r="AQ30" s="171"/>
      <c r="AR30" s="171"/>
      <c r="AS30" s="41"/>
      <c r="AT30" s="170"/>
      <c r="AU30" s="172"/>
      <c r="AV30" s="41"/>
      <c r="AW30" s="170"/>
      <c r="AX30" s="171"/>
      <c r="AY30" s="171"/>
      <c r="AZ30" s="171"/>
      <c r="BA30" s="171"/>
      <c r="BB30" s="41"/>
      <c r="BC30" s="170"/>
      <c r="BD30" s="172"/>
      <c r="BE30" s="41"/>
      <c r="BF30" s="170"/>
      <c r="BG30" s="171"/>
      <c r="BH30" s="171"/>
      <c r="BI30" s="171"/>
      <c r="BJ30" s="171"/>
      <c r="BK30" s="41"/>
      <c r="BL30" s="170"/>
    </row>
    <row r="31">
      <c r="A31" s="49"/>
      <c r="B31" s="50"/>
      <c r="C31" s="52"/>
      <c r="D31" s="174"/>
      <c r="E31" s="175"/>
      <c r="F31" s="175"/>
      <c r="G31" s="175"/>
      <c r="H31" s="175"/>
      <c r="I31" s="52"/>
      <c r="J31" s="174"/>
      <c r="K31" s="176"/>
      <c r="L31" s="52"/>
      <c r="M31" s="174"/>
      <c r="N31" s="175"/>
      <c r="O31" s="175"/>
      <c r="P31" s="175"/>
      <c r="Q31" s="175"/>
      <c r="R31" s="52"/>
      <c r="S31" s="174"/>
      <c r="T31" s="176"/>
      <c r="U31" s="52"/>
      <c r="V31" s="174"/>
      <c r="W31" s="175"/>
      <c r="X31" s="175"/>
      <c r="Y31" s="175"/>
      <c r="Z31" s="175"/>
      <c r="AA31" s="52"/>
      <c r="AB31" s="174"/>
      <c r="AC31" s="176"/>
      <c r="AD31" s="52"/>
      <c r="AE31" s="174"/>
      <c r="AF31" s="175"/>
      <c r="AG31" s="175"/>
      <c r="AH31" s="175"/>
      <c r="AI31" s="175"/>
      <c r="AJ31" s="52"/>
      <c r="AK31" s="174"/>
      <c r="AL31" s="176"/>
      <c r="AM31" s="52"/>
      <c r="AN31" s="174"/>
      <c r="AO31" s="175"/>
      <c r="AP31" s="175"/>
      <c r="AQ31" s="175"/>
      <c r="AR31" s="175"/>
      <c r="AS31" s="52"/>
      <c r="AT31" s="174"/>
      <c r="AU31" s="176"/>
      <c r="AV31" s="52"/>
      <c r="AW31" s="174"/>
      <c r="AX31" s="175"/>
      <c r="AY31" s="175"/>
      <c r="AZ31" s="175"/>
      <c r="BA31" s="175"/>
      <c r="BB31" s="52"/>
      <c r="BC31" s="174"/>
      <c r="BD31" s="176"/>
      <c r="BE31" s="52"/>
      <c r="BF31" s="174"/>
      <c r="BG31" s="175"/>
      <c r="BH31" s="175"/>
      <c r="BI31" s="175"/>
      <c r="BJ31" s="175"/>
      <c r="BK31" s="52"/>
      <c r="BL31" s="174"/>
    </row>
  </sheetData>
  <mergeCells count="10">
    <mergeCell ref="A4:A12"/>
    <mergeCell ref="A13:A21"/>
    <mergeCell ref="A22:A31"/>
    <mergeCell ref="B2:J2"/>
    <mergeCell ref="K2:S2"/>
    <mergeCell ref="T2:AB2"/>
    <mergeCell ref="AC2:AK2"/>
    <mergeCell ref="AL2:AT2"/>
    <mergeCell ref="AU2:BC2"/>
    <mergeCell ref="BD2:BL2"/>
  </mergeCells>
  <conditionalFormatting sqref="B4:B31 K4:K31 T4:T31 AC4:AC31 AL4:AL31 AU4:AU31 BD5:BD31">
    <cfRule type="cellIs" dxfId="1" priority="1" operator="equal">
      <formula>0</formula>
    </cfRule>
  </conditionalFormatting>
  <conditionalFormatting sqref="B4:B31 K4:K31 T4:T31 AC4:AC31 AL4:AL31 AU4:AU31 BD5:BD31">
    <cfRule type="cellIs" dxfId="5" priority="2" operator="equal">
      <formula>1</formula>
    </cfRule>
  </conditionalFormatting>
  <conditionalFormatting sqref="B4:B31 K4:K31 T4:T31 AC4:AC31 AL4:AL31 AU4:AU31 BD5:BD31">
    <cfRule type="cellIs" dxfId="6" priority="3" operator="equal">
      <formula>2</formula>
    </cfRule>
  </conditionalFormatting>
  <conditionalFormatting sqref="B4:B31 K4:K31 T4:T31 AC4:AC31 AL4:AL31 AU4:AU31 BD5:BD31">
    <cfRule type="cellIs" dxfId="7" priority="4" operator="equal">
      <formula>3</formula>
    </cfRule>
  </conditionalFormatting>
  <conditionalFormatting sqref="B4:B31 K4:K31 T4:T31 AC4:AC31 AL4:AL31 AU4:AU31 BD5:BD31">
    <cfRule type="cellIs" dxfId="8" priority="5" operator="equal">
      <formula>4</formula>
    </cfRule>
  </conditionalFormatting>
  <conditionalFormatting sqref="E4:H31 N4:Q31 W4:Z31 AF4:AI31 AO4:AR31 AX4:BA31 BG4:BJ31">
    <cfRule type="cellIs" dxfId="0" priority="6" operator="equal">
      <formula>"TRUE"</formula>
    </cfRule>
  </conditionalFormatting>
  <conditionalFormatting sqref="E4:H31 N4:Q31 W4:Z31 AF4:AI31 AO4:AR31 AX4:BA31 BG4:BJ31">
    <cfRule type="cellIs" dxfId="1" priority="7" operator="equal">
      <formula>"FALSE"</formula>
    </cfRule>
  </conditionalFormatting>
  <conditionalFormatting sqref="B4:B31 K4:K31 T4:T31 AC4:AC31 AL4:AL31 AU4:AU31 BD5:BD31">
    <cfRule type="containsBlanks" dxfId="9" priority="8">
      <formula>LEN(TRIM(B4))=0</formula>
    </cfRule>
  </conditionalFormatting>
  <drawing r:id="rId2"/>
  <legacyDrawing r:id="rId3"/>
</worksheet>
</file>