
<file path=[Content_Types].xml><?xml version="1.0" encoding="utf-8"?>
<Types xmlns="http://schemas.openxmlformats.org/package/2006/content-types">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7.xml"/>
  <Override ContentType="application/vnd.openxmlformats-officedocument.spreadsheetml.comments+xml" PartName="/xl/comments8.xml"/>
  <Override ContentType="application/vnd.openxmlformats-officedocument.spreadsheetml.sharedStrings+xml" PartName="/xl/sharedStrings.xml"/>
  <Override ContentType="application/vnd.openxmlformats-officedocument.spreadsheetml.sheet.main+xml" PartName="/xl/workbook.xml"/>
  <Override ContentType="application/vnd.openxmlformats-officedocument.spreadsheetml.styles+xml" PartName="/xl/styles.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irections" sheetId="1" r:id="rId3"/>
    <sheet state="visible" name="K-M" sheetId="2" r:id="rId4"/>
    <sheet state="visible" name="1-M" sheetId="3" r:id="rId5"/>
    <sheet state="visible" name="2-M" sheetId="4" r:id="rId6"/>
    <sheet state="visible" name="3-M" sheetId="5" r:id="rId7"/>
    <sheet state="visible" name="4-M" sheetId="6" r:id="rId8"/>
    <sheet state="visible" name="5-M" sheetId="7" r:id="rId9"/>
    <sheet state="visible" name="6-M" sheetId="8" r:id="rId10"/>
    <sheet state="visible" name="Math E.S. Vertical Report" sheetId="9" r:id="rId11"/>
    <sheet state="visible" name="ATC Math Reference" sheetId="10"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C4">
      <text>
        <t xml:space="preserve">Essential Skill Score (a total of each of the assessment factors)</t>
      </text>
    </comment>
    <comment authorId="0" ref="F4">
      <text>
        <t xml:space="preserve">Readiness Standard
For the next level learning</t>
      </text>
    </comment>
    <comment authorId="0" ref="G4">
      <text>
        <t xml:space="preserve">Endurance Standard
Concepts and skills that last over time
</t>
      </text>
    </comment>
    <comment authorId="0" ref="H4">
      <text>
        <t xml:space="preserve">Assessment Standard
The likelyhood that the standard will be assessed on standardized test
</t>
      </text>
    </comment>
    <comment authorId="0" ref="I4">
      <text>
        <t xml:space="preserve">Leverage Standard
Crossover application to other areas</t>
      </text>
    </comment>
    <comment authorId="0" ref="C34">
      <text>
        <t xml:space="preserve">Essential Skill Score (a total of each of the assessment factors)</t>
      </text>
    </comment>
    <comment authorId="0" ref="F34">
      <text>
        <t xml:space="preserve">Readiness Standard
For the next level learning</t>
      </text>
    </comment>
    <comment authorId="0" ref="G34">
      <text>
        <t xml:space="preserve">Endurance Standard
Concepts and skills that last over time
</t>
      </text>
    </comment>
    <comment authorId="0" ref="H34">
      <text>
        <t xml:space="preserve">Assessment Standard
The likelyhood that the standard will be assessed on standardized test
</t>
      </text>
    </comment>
    <comment authorId="0" ref="I34">
      <text>
        <t xml:space="preserve">Leverage Standard
Crossover application to other areas</t>
      </text>
    </comment>
  </commentList>
</comments>
</file>

<file path=xl/comments2.xml><?xml version="1.0" encoding="utf-8"?>
<comments xmlns:r="http://schemas.openxmlformats.org/officeDocument/2006/relationships" xmlns="http://schemas.openxmlformats.org/spreadsheetml/2006/main">
  <authors>
    <author/>
  </authors>
  <commentList>
    <comment authorId="0" ref="C4">
      <text>
        <t xml:space="preserve">Essential Skill Score (a total of each of the assessment factors)</t>
      </text>
    </comment>
    <comment authorId="0" ref="F4">
      <text>
        <t xml:space="preserve">Readiness Standard
For the next level learning</t>
      </text>
    </comment>
    <comment authorId="0" ref="G4">
      <text>
        <t xml:space="preserve">Endurance Standard
Concepts and skills that last over time
</t>
      </text>
    </comment>
    <comment authorId="0" ref="H4">
      <text>
        <t xml:space="preserve">Assessment Standard
The likelyhood that the standard will be assessed on standardized test
</t>
      </text>
    </comment>
    <comment authorId="0" ref="I4">
      <text>
        <t xml:space="preserve">Leverage Standard
Crossover application to other areas</t>
      </text>
    </comment>
    <comment authorId="0" ref="C32">
      <text>
        <t xml:space="preserve">Essential Skill Score (a total of each of the assessment factors)</t>
      </text>
    </comment>
    <comment authorId="0" ref="F32">
      <text>
        <t xml:space="preserve">Readiness Standard
For the next level learning</t>
      </text>
    </comment>
    <comment authorId="0" ref="G32">
      <text>
        <t xml:space="preserve">Endurance Standard
Concepts and skills that last over time
</t>
      </text>
    </comment>
    <comment authorId="0" ref="H32">
      <text>
        <t xml:space="preserve">Assessment Standard
The likelyhood that the standard will be assessed on standardized test
</t>
      </text>
    </comment>
    <comment authorId="0" ref="I32">
      <text>
        <t xml:space="preserve">Leverage Standard
Crossover application to other areas</t>
      </text>
    </comment>
  </commentList>
</comments>
</file>

<file path=xl/comments3.xml><?xml version="1.0" encoding="utf-8"?>
<comments xmlns:r="http://schemas.openxmlformats.org/officeDocument/2006/relationships" xmlns="http://schemas.openxmlformats.org/spreadsheetml/2006/main">
  <authors>
    <author/>
  </authors>
  <commentList>
    <comment authorId="0" ref="C4">
      <text>
        <t xml:space="preserve">Essential Skill Score (a total of each of the assessment factors)</t>
      </text>
    </comment>
    <comment authorId="0" ref="F4">
      <text>
        <t xml:space="preserve">Readiness Standard
For the next level learning</t>
      </text>
    </comment>
    <comment authorId="0" ref="G4">
      <text>
        <t xml:space="preserve">Endurance Standard
Concepts and skills that last over time
</t>
      </text>
    </comment>
    <comment authorId="0" ref="H4">
      <text>
        <t xml:space="preserve">Assessment Standard
The likelyhood that the standard will be assessed on standardized test
</t>
      </text>
    </comment>
    <comment authorId="0" ref="I4">
      <text>
        <t xml:space="preserve">Leverage Standard
Crossover application to other areas</t>
      </text>
    </comment>
    <comment authorId="0" ref="C36">
      <text>
        <t xml:space="preserve">Essential Skill Score (a total of each of the assessment factors)</t>
      </text>
    </comment>
    <comment authorId="0" ref="F36">
      <text>
        <t xml:space="preserve">Readiness Standard
For the next level learning</t>
      </text>
    </comment>
    <comment authorId="0" ref="G36">
      <text>
        <t xml:space="preserve">Endurance Standard
Concepts and skills that last over time
</t>
      </text>
    </comment>
    <comment authorId="0" ref="H36">
      <text>
        <t xml:space="preserve">Assessment Standard
The likelyhood that the standard will be assessed on standardized test
</t>
      </text>
    </comment>
    <comment authorId="0" ref="I36">
      <text>
        <t xml:space="preserve">Leverage Standard
Crossover application to other areas</t>
      </text>
    </comment>
  </commentList>
</comments>
</file>

<file path=xl/comments4.xml><?xml version="1.0" encoding="utf-8"?>
<comments xmlns:r="http://schemas.openxmlformats.org/officeDocument/2006/relationships" xmlns="http://schemas.openxmlformats.org/spreadsheetml/2006/main">
  <authors>
    <author/>
  </authors>
  <commentList>
    <comment authorId="0" ref="C4">
      <text>
        <t xml:space="preserve">Essential Skill Score (a total of each of the assessment factors)</t>
      </text>
    </comment>
    <comment authorId="0" ref="F4">
      <text>
        <t xml:space="preserve">Readiness Standard
For the next level learning</t>
      </text>
    </comment>
    <comment authorId="0" ref="G4">
      <text>
        <t xml:space="preserve">Endurance Standard
Concepts and skills that last over time
</t>
      </text>
    </comment>
    <comment authorId="0" ref="H4">
      <text>
        <t xml:space="preserve">Assessment Standard
The likelyhood that the standard will be assessed on standardized test
</t>
      </text>
    </comment>
    <comment authorId="0" ref="I4">
      <text>
        <t xml:space="preserve">Leverage Standard
Crossover application to other areas</t>
      </text>
    </comment>
    <comment authorId="0" ref="C48">
      <text>
        <t xml:space="preserve">Essential Skill Score (a total of each of the assessment factors)</t>
      </text>
    </comment>
    <comment authorId="0" ref="F48">
      <text>
        <t xml:space="preserve">Readiness Standard
For the next level learning</t>
      </text>
    </comment>
    <comment authorId="0" ref="G48">
      <text>
        <t xml:space="preserve">Endurance Standard
Concepts and skills that last over time
</t>
      </text>
    </comment>
    <comment authorId="0" ref="H48">
      <text>
        <t xml:space="preserve">Assessment Standard
The likelyhood that the standard will be assessed on standardized test
</t>
      </text>
    </comment>
    <comment authorId="0" ref="I48">
      <text>
        <t xml:space="preserve">Leverage Standard
Crossover application to other areas</t>
      </text>
    </comment>
  </commentList>
</comments>
</file>

<file path=xl/comments5.xml><?xml version="1.0" encoding="utf-8"?>
<comments xmlns:r="http://schemas.openxmlformats.org/officeDocument/2006/relationships" xmlns="http://schemas.openxmlformats.org/spreadsheetml/2006/main">
  <authors>
    <author/>
  </authors>
  <commentList>
    <comment authorId="0" ref="C4">
      <text>
        <t xml:space="preserve">Essential Skill Score (a total of each of the assessment factors)</t>
      </text>
    </comment>
    <comment authorId="0" ref="F4">
      <text>
        <t xml:space="preserve">Readiness Standard
For the next level learning</t>
      </text>
    </comment>
    <comment authorId="0" ref="G4">
      <text>
        <t xml:space="preserve">Endurance Standard
Concepts and skills that last over time
</t>
      </text>
    </comment>
    <comment authorId="0" ref="H4">
      <text>
        <t xml:space="preserve">Assessment Standard
The likelyhood that the standard will be assessed on standardized test
</t>
      </text>
    </comment>
    <comment authorId="0" ref="I4">
      <text>
        <t xml:space="preserve">Leverage Standard
Crossover application to other areas</t>
      </text>
    </comment>
    <comment authorId="0" ref="C46">
      <text>
        <t xml:space="preserve">Essential Skill Score (a total of each of the assessment factors)</t>
      </text>
    </comment>
    <comment authorId="0" ref="F46">
      <text>
        <t xml:space="preserve">Readiness Standard
For the next level learning</t>
      </text>
    </comment>
    <comment authorId="0" ref="G46">
      <text>
        <t xml:space="preserve">Endurance Standard
Concepts and skills that last over time
</t>
      </text>
    </comment>
    <comment authorId="0" ref="H46">
      <text>
        <t xml:space="preserve">Assessment Standard
The likelyhood that the standard will be assessed on standardized test
</t>
      </text>
    </comment>
    <comment authorId="0" ref="I46">
      <text>
        <t xml:space="preserve">Leverage Standard
Crossover application to other areas</t>
      </text>
    </comment>
  </commentList>
</comments>
</file>

<file path=xl/comments6.xml><?xml version="1.0" encoding="utf-8"?>
<comments xmlns:r="http://schemas.openxmlformats.org/officeDocument/2006/relationships" xmlns="http://schemas.openxmlformats.org/spreadsheetml/2006/main">
  <authors>
    <author/>
  </authors>
  <commentList>
    <comment authorId="0" ref="C4">
      <text>
        <t xml:space="preserve">Essential Skill Score (a total of each of the assessment factors)</t>
      </text>
    </comment>
    <comment authorId="0" ref="F4">
      <text>
        <t xml:space="preserve">Readiness Standard
For the next level learning</t>
      </text>
    </comment>
    <comment authorId="0" ref="G4">
      <text>
        <t xml:space="preserve">Endurance Standard
Concepts and skills that last over time
</t>
      </text>
    </comment>
    <comment authorId="0" ref="H4">
      <text>
        <t xml:space="preserve">Assessment Standard
The likelyhood that the standard will be assessed on standardized test
</t>
      </text>
    </comment>
    <comment authorId="0" ref="I4">
      <text>
        <t xml:space="preserve">Leverage Standard
Crossover application to other areas</t>
      </text>
    </comment>
    <comment authorId="0" ref="C47">
      <text>
        <t xml:space="preserve">Essential Skill Score (a total of each of the assessment factors)</t>
      </text>
    </comment>
    <comment authorId="0" ref="F47">
      <text>
        <t xml:space="preserve">Readiness Standard
For the next level learning</t>
      </text>
    </comment>
    <comment authorId="0" ref="G47">
      <text>
        <t xml:space="preserve">Endurance Standard
Concepts and skills that last over time
</t>
      </text>
    </comment>
    <comment authorId="0" ref="H47">
      <text>
        <t xml:space="preserve">Assessment Standard
The likelyhood that the standard will be assessed on standardized test
</t>
      </text>
    </comment>
    <comment authorId="0" ref="I47">
      <text>
        <t xml:space="preserve">Leverage Standard
Crossover application to other areas</t>
      </text>
    </comment>
  </commentList>
</comments>
</file>

<file path=xl/comments7.xml><?xml version="1.0" encoding="utf-8"?>
<comments xmlns:r="http://schemas.openxmlformats.org/officeDocument/2006/relationships" xmlns="http://schemas.openxmlformats.org/spreadsheetml/2006/main">
  <authors>
    <author/>
  </authors>
  <commentList>
    <comment authorId="0" ref="C4">
      <text>
        <t xml:space="preserve">Essential Skill Score (a total of each of the assessment factors)</t>
      </text>
    </comment>
    <comment authorId="0" ref="F4">
      <text>
        <t xml:space="preserve">Readiness Standard
For the next level learning</t>
      </text>
    </comment>
    <comment authorId="0" ref="G4">
      <text>
        <t xml:space="preserve">Endurance Standard
Concepts and skills that last over time
</t>
      </text>
    </comment>
    <comment authorId="0" ref="H4">
      <text>
        <t xml:space="preserve">Assessment Standard
The likelyhood that the standard will be assessed on standardized test
</t>
      </text>
    </comment>
    <comment authorId="0" ref="I4">
      <text>
        <t xml:space="preserve">Leverage Standard
Crossover application to other areas</t>
      </text>
    </comment>
    <comment authorId="0" ref="C55">
      <text>
        <t xml:space="preserve">Essential Skill Score (a total of each of the assessment factors)</t>
      </text>
    </comment>
    <comment authorId="0" ref="F55">
      <text>
        <t xml:space="preserve">Readiness Standard
For the next level learning</t>
      </text>
    </comment>
    <comment authorId="0" ref="G55">
      <text>
        <t xml:space="preserve">Endurance Standard
Concepts and skills that last over time
</t>
      </text>
    </comment>
    <comment authorId="0" ref="H55">
      <text>
        <t xml:space="preserve">Assessment Standard
The likelyhood that the standard will be assessed on standardized test
</t>
      </text>
    </comment>
    <comment authorId="0" ref="I55">
      <text>
        <t xml:space="preserve">Leverage Standard
Crossover application to other areas</t>
      </text>
    </comment>
  </commentList>
</comments>
</file>

<file path=xl/comments8.xml><?xml version="1.0" encoding="utf-8"?>
<comments xmlns:r="http://schemas.openxmlformats.org/officeDocument/2006/relationships" xmlns="http://schemas.openxmlformats.org/spreadsheetml/2006/main">
  <authors>
    <author/>
  </authors>
  <commentList>
    <comment authorId="0" ref="B3">
      <text>
        <t xml:space="preserve"># of Assessment Factors</t>
      </text>
    </comment>
    <comment authorId="0" ref="E3">
      <text>
        <t xml:space="preserve">Readiness Standard
For the next level learning</t>
      </text>
    </comment>
    <comment authorId="0" ref="F3">
      <text>
        <t xml:space="preserve">Endurance Standard
Concepts and skills that last over time
</t>
      </text>
    </comment>
    <comment authorId="0" ref="G3">
      <text>
        <t xml:space="preserve">Assessment Standard
The likelyhood that the standard will be assessed on standardized test
</t>
      </text>
    </comment>
    <comment authorId="0" ref="H3">
      <text>
        <t xml:space="preserve">Leverage Standard
Crossover application to other areas</t>
      </text>
    </comment>
    <comment authorId="0" ref="K3">
      <text>
        <t xml:space="preserve"># of Assessment Factors</t>
      </text>
    </comment>
    <comment authorId="0" ref="N3">
      <text>
        <t xml:space="preserve">Readiness Standard
For the next level learning</t>
      </text>
    </comment>
    <comment authorId="0" ref="O3">
      <text>
        <t xml:space="preserve">Endurance Standard
Concepts and skills that last over time
</t>
      </text>
    </comment>
    <comment authorId="0" ref="P3">
      <text>
        <t xml:space="preserve">Assessment Standard
The likelyhood that the standard will be assessed on standardized test
</t>
      </text>
    </comment>
    <comment authorId="0" ref="Q3">
      <text>
        <t xml:space="preserve">Leverage Standard
Crossover application to other areas</t>
      </text>
    </comment>
    <comment authorId="0" ref="T3">
      <text>
        <t xml:space="preserve"># of Assessment Factors</t>
      </text>
    </comment>
    <comment authorId="0" ref="W3">
      <text>
        <t xml:space="preserve">Readiness Standard
For the next level learning</t>
      </text>
    </comment>
    <comment authorId="0" ref="X3">
      <text>
        <t xml:space="preserve">Endurance Standard
Concepts and skills that last over time
</t>
      </text>
    </comment>
    <comment authorId="0" ref="Y3">
      <text>
        <t xml:space="preserve">Assessment Standard
The likelyhood that the standard will be assessed on standardized test
</t>
      </text>
    </comment>
    <comment authorId="0" ref="Z3">
      <text>
        <t xml:space="preserve">Leverage Standard
Crossover application to other areas</t>
      </text>
    </comment>
    <comment authorId="0" ref="AC3">
      <text>
        <t xml:space="preserve"># of Assessment Factors</t>
      </text>
    </comment>
    <comment authorId="0" ref="AF3">
      <text>
        <t xml:space="preserve">Readiness Standard
For the next level learning</t>
      </text>
    </comment>
    <comment authorId="0" ref="AG3">
      <text>
        <t xml:space="preserve">Endurance Standard
Concepts and skills that last over time
</t>
      </text>
    </comment>
    <comment authorId="0" ref="AH3">
      <text>
        <t xml:space="preserve">Assessment Standard
The likelyhood that the standard will be assessed on standardized test
</t>
      </text>
    </comment>
    <comment authorId="0" ref="AI3">
      <text>
        <t xml:space="preserve">Leverage Standard
Crossover application to other areas</t>
      </text>
    </comment>
    <comment authorId="0" ref="AL3">
      <text>
        <t xml:space="preserve"># of Assessment Factors</t>
      </text>
    </comment>
    <comment authorId="0" ref="AO3">
      <text>
        <t xml:space="preserve">Readiness Standard
For the next level learning</t>
      </text>
    </comment>
    <comment authorId="0" ref="AP3">
      <text>
        <t xml:space="preserve">Endurance Standard
Concepts and skills that last over time
</t>
      </text>
    </comment>
    <comment authorId="0" ref="AQ3">
      <text>
        <t xml:space="preserve">Assessment Standard
The likelyhood that the standard will be assessed on standardized test
</t>
      </text>
    </comment>
    <comment authorId="0" ref="AR3">
      <text>
        <t xml:space="preserve">Leverage Standard
Crossover application to other areas</t>
      </text>
    </comment>
    <comment authorId="0" ref="AU3">
      <text>
        <t xml:space="preserve"># of Assessment Factors</t>
      </text>
    </comment>
    <comment authorId="0" ref="AX3">
      <text>
        <t xml:space="preserve">Readiness Standard
For the next level learning</t>
      </text>
    </comment>
    <comment authorId="0" ref="AY3">
      <text>
        <t xml:space="preserve">Endurance Standard
Concepts and skills that last over time
</t>
      </text>
    </comment>
    <comment authorId="0" ref="AZ3">
      <text>
        <t xml:space="preserve">Assessment Standard
The likelyhood that the standard will be assessed on standardized test
</t>
      </text>
    </comment>
    <comment authorId="0" ref="BA3">
      <text>
        <t xml:space="preserve">Leverage Standard
Crossover application to other areas</t>
      </text>
    </comment>
    <comment authorId="0" ref="BD3">
      <text>
        <t xml:space="preserve"># of Assessment Factors</t>
      </text>
    </comment>
    <comment authorId="0" ref="BG3">
      <text>
        <t xml:space="preserve">Readiness Standard
For the next level learning</t>
      </text>
    </comment>
    <comment authorId="0" ref="BH3">
      <text>
        <t xml:space="preserve">Endurance Standard
Concepts and skills that last over time
</t>
      </text>
    </comment>
    <comment authorId="0" ref="BI3">
      <text>
        <t xml:space="preserve">Assessment Standard
The likelyhood that the standard will be assessed on standardized test
</t>
      </text>
    </comment>
    <comment authorId="0" ref="BJ3">
      <text>
        <t xml:space="preserve">Leverage Standard
Crossover application to other areas</t>
      </text>
    </comment>
  </commentList>
</comments>
</file>

<file path=xl/sharedStrings.xml><?xml version="1.0" encoding="utf-8"?>
<sst xmlns="http://schemas.openxmlformats.org/spreadsheetml/2006/main" count="1401" uniqueCount="838">
  <si>
    <t>Welcome to the essential standards planning document for K-6 Math!  This document is meant to help teams develop a guaranteed and viable curriculum by choosing only standards that meet assessment criteria.</t>
  </si>
  <si>
    <r>
      <rPr>
        <b/>
      </rPr>
      <t>During Phase 1</t>
    </r>
    <r>
      <t xml:space="preserve"> teams evaluate each standard for readiness, endurance, assessment, and leverage. As they mark the relevant checkboxes the ESS. (essential score) will increase. Teams will also provide justification for their decisions.  Please only modify the light blue boxes in order to preserve the programmed functions.</t>
    </r>
  </si>
  <si>
    <t>If you want to show or hide different sections you can click on the +/- buttons on the left and upper margins of the document.</t>
  </si>
  <si>
    <r>
      <rPr>
        <b/>
      </rPr>
      <t>During Phase 2</t>
    </r>
    <r>
      <t xml:space="preserve"> teams will set a cutoff score that filters out only the most relevant standards (with higher ESS. scores).   After reviewing the recommended amount of standards, they will mark the essential standards they want to confirm in the blue checkboxes.</t>
    </r>
  </si>
  <si>
    <t>Click the minus sign to the left to hide the directions.</t>
  </si>
  <si>
    <t>Phase 1: AS A TEAM, evaluate each standard to see if it meets the assessment criteria.  If it meets a criteria click the checkbox to mark it as true.  Provide a justification and cite evidence for your decision to aid clarity with other teams. *Only modify blue cells*</t>
  </si>
  <si>
    <t>Kindergarten Math Standards</t>
  </si>
  <si>
    <t>Domains</t>
  </si>
  <si>
    <t>Ess.</t>
  </si>
  <si>
    <t>Standard</t>
  </si>
  <si>
    <t>Standard Description</t>
  </si>
  <si>
    <r>
      <t xml:space="preserve">The Math E.S. Vertical Report imports the essential standards selected by each team.  The +/- buttons allow teams to change the view to facilitate different discussions.  </t>
    </r>
    <r>
      <rPr>
        <b/>
      </rPr>
      <t>No cells on this sheet need to be modified.</t>
    </r>
  </si>
  <si>
    <t>R</t>
  </si>
  <si>
    <t>E</t>
  </si>
  <si>
    <t>The ACT Math Reference sheet synthesizes information from Acheivethecore.org to allow teams to see how math standards arrange vertically.  If a standard is found in the same row for different grades it indicates a high amount of endurance for a standard (it happens again and again over time).  It is also possible to determine readiness if a similar standard will occur in the next grade level.</t>
  </si>
  <si>
    <t>1st Grade Math Standards</t>
  </si>
  <si>
    <t>2nd Grade Math Standards</t>
  </si>
  <si>
    <t>L</t>
  </si>
  <si>
    <t>Justification</t>
  </si>
  <si>
    <t>Number Sense and Base Ten</t>
  </si>
  <si>
    <t>Extend the counting sequence.</t>
  </si>
  <si>
    <t>1.NBT.A.1</t>
  </si>
  <si>
    <t>Count to 120, starting at any number less than 120. In this range, read and write numerals and represent a number of objects with a written numeral.</t>
  </si>
  <si>
    <t xml:space="preserve">R- Number sense is an essential skill that will prepare students for success at all levels. E- This is a foundational skill that will be used in multiple units. A- iStation L- Number sense will also be applied in Science </t>
  </si>
  <si>
    <t>Understand place value.</t>
  </si>
  <si>
    <t>1.NBT.B.2</t>
  </si>
  <si>
    <t>Understand that the two digits of a two-digit number represent amounts of tens and ones. Understand the following as special cases:</t>
  </si>
  <si>
    <t>R- Number sense is an essential skill that will prepare students for success at all levels. E- Place Value is a foundational skill that will be used in multiple units A- iStation L- Place value will be used in Science</t>
  </si>
  <si>
    <t>1.NBT.B.2a</t>
  </si>
  <si>
    <t>10 can be thought of as a bundle of ten ones — called a “ten.”</t>
  </si>
  <si>
    <t>target</t>
  </si>
  <si>
    <t>1.NBT.B.2b</t>
  </si>
  <si>
    <t>The numbers from 11 to 19 are composed of a ten and one, two, three, four, five, six, seven, eight, or nine ones</t>
  </si>
  <si>
    <t>1.NBT.B.2c</t>
  </si>
  <si>
    <t>The numbers 10, 20, 30, 40, 50, 60, 70, 80, 90 refer to one, two, three, four, five, six, seven, eight, or nine tens (and 0 ones).</t>
  </si>
  <si>
    <t>1.NBT.B.3</t>
  </si>
  <si>
    <t>Compare two two-digit numbers based on meanings of the tens and ones digits, recording the results of comparisons with the symbols &gt;, =, and &lt;.</t>
  </si>
  <si>
    <t xml:space="preserve">R- essential for success in 2nd grade and beyond. E- yes A- iStation L- </t>
  </si>
  <si>
    <t>Use place value understanding and properties of operations to add and subtract.</t>
  </si>
  <si>
    <t>1.NBT.C.4</t>
  </si>
  <si>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</si>
  <si>
    <t xml:space="preserve">R- addition is a foundational math skill and will continue into 2nd grade. </t>
  </si>
  <si>
    <t>1.NBT.C.5</t>
  </si>
  <si>
    <t>Given a two-digit number, mentally find 10 more or 10 less than the number, without having to count; explain the reasoning used.</t>
  </si>
  <si>
    <t>1.NBT.C.6</t>
  </si>
  <si>
    <t>Subtract multiples of 10 in the range 10-90 from multiples of 10 in the range 10–90 (positive or zero differences), using concrete models or drawings and strategies based on place value, properties of operations, and/or the relationship between addition and subtraction; relate the strategy to a written method and explain the reasoning used</t>
  </si>
  <si>
    <t>Target taught with C.4</t>
  </si>
  <si>
    <t>Operations and Algebratic Thinking</t>
  </si>
  <si>
    <t>Represent and solve problems involving addition and subtraction.</t>
  </si>
  <si>
    <t>1.OA.A.1</t>
  </si>
  <si>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t>
  </si>
  <si>
    <t>Word problems and problem solving skills are essential in all grades and are assessed.</t>
  </si>
  <si>
    <t>1.OA.A.2</t>
  </si>
  <si>
    <t>Solve word problems that call for addition of three whole numbers whose sum is less than or equal to 20, e.g., by using objects, drawings, and equations with a symbol for the unknown number to represent the problem.</t>
  </si>
  <si>
    <t xml:space="preserve">Target </t>
  </si>
  <si>
    <t>Work with numbers 11–19 to gain foundations for place value.</t>
  </si>
  <si>
    <t>Understand and apply properties of operations and the relationship between addition and subtraction.</t>
  </si>
  <si>
    <t>1.OA.B.2</t>
  </si>
  <si>
    <t>Apply properties of operations as strategies to add and subtract. Examples: If 8 + 3 = 11 is known, then 3 + 8 = 11 is also known. (Commutative property of addition.) To add 2 + 6 + 4, the second two numbers can be added to make a ten, so 2 + 6 + 4 = 2 + 10 = 12. (Associative property of addition.)</t>
  </si>
  <si>
    <t>These properties will be built upon and assessed in this grade and beyond.</t>
  </si>
  <si>
    <t>K.NBT.A.1</t>
  </si>
  <si>
    <t>1.OA.B.4</t>
  </si>
  <si>
    <t>Understand subtraction as an unknown-addend problem. For example, subtract 10 – 8 by finding the number that makes 10 when added to 8.</t>
  </si>
  <si>
    <t>Compose and decompose numbers from 11 to 19 into ten ones and some further ones, e.g., by using objects or drawings, and record each composition or decomposition by a drawing or equation (such as 18 = 10 + 8); understand that these numbers are composed of ten ones and one, two, three, four, five, six, seven, eight, or nine ones.</t>
  </si>
  <si>
    <t>Add and subtract within 20.</t>
  </si>
  <si>
    <t xml:space="preserve">Place value </t>
  </si>
  <si>
    <t>Understand addition, and understand subtraction.</t>
  </si>
  <si>
    <t>K.OA.A.1</t>
  </si>
  <si>
    <t>Represent addition and subtraction with objects, fingers, mental images, drawings, sounds (e.g., claps), acting out situations, verbal explanations, expressions, or equations.</t>
  </si>
  <si>
    <t>This is a model for solving addition and subtraction problems. Written as a learning target for KOA2</t>
  </si>
  <si>
    <t>1.OA.C.5</t>
  </si>
  <si>
    <t>Relate counting to addition and subtraction (e.g., by counting on 2 to add 2).</t>
  </si>
  <si>
    <t>K.OA.A.2</t>
  </si>
  <si>
    <t>This skill is taught while talking about counting and when teaching 1.OA.C.6</t>
  </si>
  <si>
    <r>
      <t>Solve addition and subtraction word problems, and</t>
    </r>
    <r>
      <rPr>
        <b/>
      </rPr>
      <t xml:space="preserve"> add and subtract within 10, e.g., by using objects or drawings to represent the problem.</t>
    </r>
  </si>
  <si>
    <t>1.OA.C.6</t>
  </si>
  <si>
    <t>Bold part is essential. Foundational skill. Learning to compose and decompose numbers</t>
  </si>
  <si>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</si>
  <si>
    <t>Introduction of addition and subtraction, will be assessed and carried forward in other grades.</t>
  </si>
  <si>
    <t>K.OA.A.3</t>
  </si>
  <si>
    <t>Decompose numbers less than or equal to 10 into pairs in more than one way, e.g., by using objects or drawings, and record each decomposition by a drawing or equation (e.g., 5 = 2 + 3 and 5 = 4 + 1).</t>
  </si>
  <si>
    <t>Work with addition and subtraction equations.</t>
  </si>
  <si>
    <t>1.OA.D.7</t>
  </si>
  <si>
    <t>Understand the meaning of the equal sign, and determine if equations involving addition and subtraction are true or false. For example, which of the following equations are true and which are false? 6 = 6, 7 = 8 – 1, 5 + 2 = 2 + 5, 4 + 1 = 5 + 2.</t>
  </si>
  <si>
    <t>Essential to understanding addition and subtraction (1.OA.D.7)</t>
  </si>
  <si>
    <t>1.OA.D.8</t>
  </si>
  <si>
    <t>Determine the unknown whole number in an addition or subtraction equation relating three whole numbers. For example, determine the unknown number that makes the equation true in each of the equations 8 + ? = 11, 5 = _ – 3, 6 + 6 = _.</t>
  </si>
  <si>
    <t>K.OA.A.4</t>
  </si>
  <si>
    <t>For any number from 1 to 9, find the number that makes 10 when added to the given number, e.g., by using objects or drawings, and record the answer with a drawing or equation.</t>
  </si>
  <si>
    <t>Relate to 1.OA.B.2</t>
  </si>
  <si>
    <t>Geometry</t>
  </si>
  <si>
    <t>K.OA.A.5</t>
  </si>
  <si>
    <t>Fluently add and subtract within 5.</t>
  </si>
  <si>
    <t>2.NBT.A.1</t>
  </si>
  <si>
    <t>Understand that the three digits of a three-digit number represent amounts of hundreds, tens, and ones; e.g., 706 equals 7 hundreds, 0 tens, and 6 ones. Understand the following as special cases:</t>
  </si>
  <si>
    <t>Reason with shapes and their attributes.</t>
  </si>
  <si>
    <t>Fluency is the goal for OA.2</t>
  </si>
  <si>
    <t>2.nbt.a.1a and a.1b are targets. 
R-place value is needed to understand rounding
E-foundation for # sense 
A- on Istation</t>
  </si>
  <si>
    <t>1.G.A.1</t>
  </si>
  <si>
    <t>Identify and describe shapes.</t>
  </si>
  <si>
    <t>Distinguish between defining attributes (e.g., triangles are closed and three-sided) versus non-defining attributes (e.g., color, orientation, overall size); build and draw shapes to possess defining attributes.</t>
  </si>
  <si>
    <t>K.G.A.1</t>
  </si>
  <si>
    <t>Describe objects in the environment using names of shapes, and describe the relative positions of these objects using terms such as above, below, beside, in front of, behind, and next to.</t>
  </si>
  <si>
    <t>2.NBT.A.1a</t>
  </si>
  <si>
    <t>100 can be thought of as a bundle of ten tens — called a “hundred.”</t>
  </si>
  <si>
    <t>Briefly review this skill (taught in K)</t>
  </si>
  <si>
    <t xml:space="preserve"> target with NBT.A.1</t>
  </si>
  <si>
    <t>1.G.A.2</t>
  </si>
  <si>
    <t>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t>
  </si>
  <si>
    <t>K.G.A.2</t>
  </si>
  <si>
    <t>Correctly name shapes regardless of their orientations or overall size.</t>
  </si>
  <si>
    <t>Introduction of 3-D shapes, and the idea that two shapes can form another shape.</t>
  </si>
  <si>
    <t>2.NBT.A.1b</t>
  </si>
  <si>
    <t>The numbers 100, 200, 300, 400, 500, 600, 700, 800, 900 refer to one, two, three, four, five, six, seven, eight, or nine hundreds (and 0 tens and 0 ones)</t>
  </si>
  <si>
    <t>Learning target for K.G.B.4</t>
  </si>
  <si>
    <t>target with NBT.A.1</t>
  </si>
  <si>
    <t>1.G.A.3</t>
  </si>
  <si>
    <t>K.G.A.3</t>
  </si>
  <si>
    <t>Identify shapes as two-dimensional (lying in a plane, “flat”) or three dimensional (“solid”).</t>
  </si>
  <si>
    <t>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t>
  </si>
  <si>
    <t>2.NBT.A.2</t>
  </si>
  <si>
    <t>Count within 1000; skip-count by 5s, 10s, and 100s.</t>
  </si>
  <si>
    <t>Make a learning target to 1.G.A.2</t>
  </si>
  <si>
    <t>R- skip counting is needed to understand multiplication
E- need it for upper grades / foundation skill
A-on istation
2.nbt.a.3 target</t>
  </si>
  <si>
    <t>Measurement and Data</t>
  </si>
  <si>
    <t>2.NBT.A.3</t>
  </si>
  <si>
    <t>Read and write numbers to 1000 using base-ten numerals, number names, and expanded form.</t>
  </si>
  <si>
    <t>Measure lengths indirectly and by iterating length units.</t>
  </si>
  <si>
    <t>Analyze, compare, create, and compose shapes.</t>
  </si>
  <si>
    <t>2.NBT.A.4</t>
  </si>
  <si>
    <t>Compare two three-digit numbers based on meanings of the hundreds, tens, and ones digits, using &gt;, =, and &lt; symbols to record the results of comparisons.</t>
  </si>
  <si>
    <t>R- yes needed foundational
E- yes
A- on istation/ on older grades test yes
L- comparison is used in reading and data with science</t>
  </si>
  <si>
    <t>1.MD.A.1</t>
  </si>
  <si>
    <t>Order three objects by length; compare the lengths of two objects indirectly by using a third object.</t>
  </si>
  <si>
    <t>K.G.B.4</t>
  </si>
  <si>
    <t>Analyze and compare two- and three dimensional shapes, in different sizes and orientations, using informal language to describe their similarities, differences, parts (e.g., number of sides and vertices/“corners”) and other attributes (e.g., having sides of equal length).</t>
  </si>
  <si>
    <t>2.NBT.B.5</t>
  </si>
  <si>
    <t>Fluently add and subtract within 100 using strategies based on place value, properties of operations, and/or the relationship between addition and subtraction</t>
  </si>
  <si>
    <t>Umbrella standard: students will be able to do:
KGA2
KGA3
as a result of mastery
Naming 2D &amp; 3D shapes is assessed on report card</t>
  </si>
  <si>
    <t>1.MD.A.2</t>
  </si>
  <si>
    <t>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t>
  </si>
  <si>
    <t xml:space="preserve">R- upper grades go to 4 digit numbers
E- w/in other math areas this is used, used in upper grades
A- on istation </t>
  </si>
  <si>
    <t>K.G.B.5</t>
  </si>
  <si>
    <t>Introduction to Measurement</t>
  </si>
  <si>
    <t>Model shapes in the world by building shapes from components (e.g., sticks and clay balls) and drawing shapes.</t>
  </si>
  <si>
    <t>2.NBT.B.6</t>
  </si>
  <si>
    <t>Add up to four two-digit numbers using strategies based on place value and properties of operations.</t>
  </si>
  <si>
    <t>Tell and write time.</t>
  </si>
  <si>
    <r>
      <t>Target with 2.NBT.</t>
    </r>
    <r>
      <rPr>
        <b/>
      </rPr>
      <t>5</t>
    </r>
  </si>
  <si>
    <t>K.G.B.6</t>
  </si>
  <si>
    <t>Compose simple shapes to form larger shapes. For example, “Can you join these two triangles with full sides touching to make a rectangle?”</t>
  </si>
  <si>
    <t>1.MD.B.3</t>
  </si>
  <si>
    <t>2.NBT.B.7</t>
  </si>
  <si>
    <t>Tell and write time in hours and halfhours using analog and digital clocks.</t>
  </si>
  <si>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</si>
  <si>
    <t>Target with 2.NBT.5</t>
  </si>
  <si>
    <t>Introduction to Time</t>
  </si>
  <si>
    <t>Represent and interpret data.</t>
  </si>
  <si>
    <t>2.NBT.B.8</t>
  </si>
  <si>
    <t>Mentally add 10 or 100 to a given number 100–900, and mentally subtract 10 or 100 from a given number 100–900.</t>
  </si>
  <si>
    <t>Describe and compare measurable attributes.</t>
  </si>
  <si>
    <t>K.MD.A.1</t>
  </si>
  <si>
    <t>Describe measurable attributes of objects, such as length or weight. Describe several measurable attributes of a single object.</t>
  </si>
  <si>
    <t>2.NBT.B.9</t>
  </si>
  <si>
    <t>Explain why addition and subtraction strategies work, using place value and the properties of operations.</t>
  </si>
  <si>
    <t>1.MD.C.4</t>
  </si>
  <si>
    <t>Organize, represent, and interpret data with up to three categories; ask and answer questions about the total number of data points, how many in each category, and how many more or less are in one category than in another.</t>
  </si>
  <si>
    <t>Target with 2.NBT.5/ Use this as a DOK 3</t>
  </si>
  <si>
    <t>Graphing is an essential skill, it is assessed, and will be used in other subjects and grades.</t>
  </si>
  <si>
    <t>K.MD.A.2</t>
  </si>
  <si>
    <t>Directly compare two objects with a measurable attribute in common, to see which object has “more of”/“less of” the attribute, and describe the difference. For example, directly compare the heights of two children and describe one child as taller/ shorter.</t>
  </si>
  <si>
    <t>Classify objects and count the number of objects in each category.</t>
  </si>
  <si>
    <t>2.OA.A.1</t>
  </si>
  <si>
    <t>K.MD.B.3</t>
  </si>
  <si>
    <t>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t>
  </si>
  <si>
    <t>Classify objects into given categories; count the numbers of objects in each category and sort the categories by count.</t>
  </si>
  <si>
    <t>First part of the standard is assessed. Foundational understanding of how to sort and classify objects- could be taught in all subject areas</t>
  </si>
  <si>
    <t>R- an ongoing standard
E- enduring standard all throughout second grade bc different word problems are introduced
A- yes on istation and in upper grades ACT
L- word problems are in reading, and in science- it's a problem solving skill that can be used in all subjects</t>
  </si>
  <si>
    <t>Counting &amp; Cardinality</t>
  </si>
  <si>
    <t>2.OA.B.2</t>
  </si>
  <si>
    <t>Fluently add and subtract within 20 using mental strategies. By end of Grade 2, know from memory all sums of two one-digit numbers.</t>
  </si>
  <si>
    <t>R- fact fluency is an ongoing standard throughout grade levels
E- enduring standard throughout every quarter
A- a skill used on assessments</t>
  </si>
  <si>
    <t>Know number names and the count sequence.</t>
  </si>
  <si>
    <t>Work with equal groups of objects to gain foundations for multiplication.</t>
  </si>
  <si>
    <t>Current</t>
  </si>
  <si>
    <t>2.OA.C.3</t>
  </si>
  <si>
    <t>Determine whether a group of objects (up to 20) has an odd or even number of members, e.g., by pairing objects or counting them by 2s; write an equation to express an even number as a sum of two equal addends.</t>
  </si>
  <si>
    <t>K.CC.A.1</t>
  </si>
  <si>
    <t>Count to 100 by ones and by tens.</t>
  </si>
  <si>
    <t xml:space="preserve">Foundational for math skills </t>
  </si>
  <si>
    <t>2.OA.C.4</t>
  </si>
  <si>
    <t>Use addition to find the total number of objects arranged in rectangular arrays with up to 5 rows and up to 5 columns; write an equation to express the total as a sum of equal addends.</t>
  </si>
  <si>
    <t>K.CC.A.2</t>
  </si>
  <si>
    <t xml:space="preserve">R-sets up the foundation for multiplication
</t>
  </si>
  <si>
    <t>Count forward beginning from a given number within the known sequence (instead of having to begin at 1).</t>
  </si>
  <si>
    <t>Phase 2:  Set a cutoff score to filter out only the most relevant standards.  The goal is to have no more than a third of your standards designated essential.  Refer to the chart on the right for recommendations. USE CHECKBOX ON RIGHT TO CONFIRM STANDARD. *Only modify blue cells*</t>
  </si>
  <si>
    <t>Total</t>
  </si>
  <si>
    <t>Learning target for KCCA1</t>
  </si>
  <si>
    <t>K.CC.A.3</t>
  </si>
  <si>
    <t>Write numbers from 0 to 20. Represent a number of objects with a written numeral 0–20 (with 0 representing a count of no objects).</t>
  </si>
  <si>
    <t>2.G.A.1</t>
  </si>
  <si>
    <t>Required for representing numbers</t>
  </si>
  <si>
    <t>Recognize and draw shapes having specified attributes, such as a given number of angles or a given number of equal faces. Identify triangles, quadrilaterals, pentagons, hexagons, and cubes</t>
  </si>
  <si>
    <t>Count to tell the number of objects.</t>
  </si>
  <si>
    <t>2.G.A.2</t>
  </si>
  <si>
    <t>Partition a rectangle into rows and columns of same-size squares and count to find the total number of them.</t>
  </si>
  <si>
    <t>Recommended</t>
  </si>
  <si>
    <t>Target with 2.G.A.3</t>
  </si>
  <si>
    <t>K.CC.B.4</t>
  </si>
  <si>
    <t>Understand the relationship between numbers and quantities; connect counting to cardinality.</t>
  </si>
  <si>
    <t>2.G.A.3</t>
  </si>
  <si>
    <t>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t>
  </si>
  <si>
    <t>Similar to KCCA3</t>
  </si>
  <si>
    <t>R- 3rd grade teaches partioning
E- yes because this standard lays the foundation for fractions
A- on istation
L- used in fractions</t>
  </si>
  <si>
    <t>K.CC.B.4a</t>
  </si>
  <si>
    <t>When counting objects, say the number names in the standard order, pairing each object with one and only one number name and each number name with one and only one object.</t>
  </si>
  <si>
    <t>Set Cutoff Here-----------&gt;</t>
  </si>
  <si>
    <t>Measure and estimate lengths in standard units.</t>
  </si>
  <si>
    <t>Essential for students to add and subtract using a model</t>
  </si>
  <si>
    <t>K.CC.B.4b</t>
  </si>
  <si>
    <t>Understand that the last number name said tells the number of objects counted. The number of objects is the same regardless of their arrangement or the order in which they were counted.</t>
  </si>
  <si>
    <t>Learning target for KCCB4a</t>
  </si>
  <si>
    <t>2.MD.A.1</t>
  </si>
  <si>
    <t>Measure the length of an object by selecting and using appropriate tools such as rulers, yardsticks, meter sticks, and measuring tapes.</t>
  </si>
  <si>
    <t>K.CC.B.4c</t>
  </si>
  <si>
    <t>Understand that each successive number name refers to a quantity that is one larger.</t>
  </si>
  <si>
    <t>Potential Essential Standards</t>
  </si>
  <si>
    <t xml:space="preserve">R- 3rd grade uses and incorporates w area 
E- life skill
A- on istation and ACT Aspire
L- can be used in science </t>
  </si>
  <si>
    <t>Learing target for KCCB4a</t>
  </si>
  <si>
    <t>K.CC.B.5</t>
  </si>
  <si>
    <t>2.MD.A.2</t>
  </si>
  <si>
    <t>Count to answer “how many?” questions about as many as 20 things arranged in a line, a rectangular array, or a circle, or as many as 10 things in a scattered configuration; given a number from 1–20, count out that many objects.</t>
  </si>
  <si>
    <t>Measure the length of an object twice, using length units of different lengths for the two measurements; describe how the two measurements relate to the size of the unit chosen.</t>
  </si>
  <si>
    <t>Learning target for KCCB4a
**Expectation should be to 100
Should correlate with KCCA1 oral counting expectations</t>
  </si>
  <si>
    <t>A</t>
  </si>
  <si>
    <t>Confirm</t>
  </si>
  <si>
    <t>Compare numbers.</t>
  </si>
  <si>
    <t>2.MD.A.3</t>
  </si>
  <si>
    <t>Estimate lengths using units of inches, feet, centimeters, and meters.</t>
  </si>
  <si>
    <t>R- laying foundation for estimating and rounding
E- makes working with #'s easier to work with across educational domains
L- Estimation is used in life skills as well as science and with time</t>
  </si>
  <si>
    <t>2.MD.A.4</t>
  </si>
  <si>
    <t>Measure to determine how much longer one object is than another, expressing the length difference in terms of a standard length unit.</t>
  </si>
  <si>
    <t>K.CC.C.6</t>
  </si>
  <si>
    <t>Identify whether the number of objects in one group is greater than, less than, or equal to the number of objects in another group, e.g., by using matching and counting strategies.</t>
  </si>
  <si>
    <t>Relate addition and subtraction to length.</t>
  </si>
  <si>
    <t>K.CC.C.7</t>
  </si>
  <si>
    <t>Compare two numbers between 1 and 10 presented as written numerals.</t>
  </si>
  <si>
    <t>2.MD.B.5</t>
  </si>
  <si>
    <t>Use addition and subtraction within 100 to solve word problems involving lengths that are given in the same units, e.g., by using drawings (such as drawings of rulers) and equations with a symbol for the unknown number to represent the problem.</t>
  </si>
  <si>
    <t>2.MD.B.6</t>
  </si>
  <si>
    <t>Represent whole numbers as lengths from 0 on a number line diagram with equally spaced points corresponding to the numbers 0, 1, 2, ..., and represent whole-number sums and differences within 100 on a number line diagram.</t>
  </si>
  <si>
    <t xml:space="preserve">R- # lines are used in third grade and throughout 
E- skill used for solving problems/ equally spaced goes with partitioning and skip counting
L-Science 
</t>
  </si>
  <si>
    <t>Work with time and money.</t>
  </si>
  <si>
    <t>2.MD.C.7</t>
  </si>
  <si>
    <t>Tell and write time from analog and digital clocks to the nearest five minutes, using a.m. and p.m.</t>
  </si>
  <si>
    <t>R-used in third grade, and a life skill
E-being able to tell time is something needed to know in day-today life and isn't really taught in third grade
A- assessed on istation</t>
  </si>
  <si>
    <t>2.MD.C.8</t>
  </si>
  <si>
    <t>Solve word problems involving dollar bills, quarters, dimes, nickels, and pennies, using $ and ¢ symbols appropriately. Example: If you have 2 dimes and 3 pennies, how many cents do you have?</t>
  </si>
  <si>
    <t>2.MD.D.9</t>
  </si>
  <si>
    <t>Generate measurement data by measuring lengths of several objects to the nearest whole unit, or by making repeated measurements of the same object. Show the measurements by making a line plot, where the horizontal scale is marked off in whole-number units</t>
  </si>
  <si>
    <t>target for d.10</t>
  </si>
  <si>
    <t>2.MD.D.10</t>
  </si>
  <si>
    <t>Draw a picture graph and a bar graph (with single-unit scale) to represent a data set with up to four categories. Solve simple put-together, take-apart, and compare problems using information presented in a bar graph.</t>
  </si>
  <si>
    <t>R- graphing used throughout all grade levels
E- graphing a skill that can be used in word problems
A- assessed on istation
L- used in reading nonfiction and science</t>
  </si>
  <si>
    <t>3rd Grade Math Standards</t>
  </si>
  <si>
    <t>Use place value understanding and properties of operations to perform multi-digit arithmetic.</t>
  </si>
  <si>
    <t>4th Grade Math Standards</t>
  </si>
  <si>
    <t>3.NBT.A.1</t>
  </si>
  <si>
    <t>Use place value understanding to round whole numbers to the nearest 10 or 100</t>
  </si>
  <si>
    <t>3.NBT.A.2</t>
  </si>
  <si>
    <t>Fluently add and subtract within 1000 using strategies and algorithms based on place value, properties of operations, and/or the relationship between addition and subtraction.</t>
  </si>
  <si>
    <t>3.NBT.A.3</t>
  </si>
  <si>
    <t>Multiply one-digit whole numbers by multiples of 10 in the range 10–90 (e.g., 9 × 80, 5 × 60) using strategies based on place value and properties of operations.</t>
  </si>
  <si>
    <t>5th Math Standards</t>
  </si>
  <si>
    <t>3.NBT.A.4</t>
  </si>
  <si>
    <t>Understand that the four digits of a four-digit number represent amounts of thousands, hundreds, ten, and ones.</t>
  </si>
  <si>
    <t>3.NBT.A.5</t>
  </si>
  <si>
    <t>Read and write numbers to 10,000 using base-ten numerals, number names, and expanded form(s).</t>
  </si>
  <si>
    <t>Generalize place value understanding for multi-digit whole numbers.</t>
  </si>
  <si>
    <t>3.NBT.A.6</t>
  </si>
  <si>
    <t>Compare two four-digit numbers based on meanings of thousands, hundreds, tens, and ones digits using symbols to record the results of comparisons.</t>
  </si>
  <si>
    <t>4.NBT.A.1</t>
  </si>
  <si>
    <t>Recognize that in a multi-digit whole number, a digit in one place represents ten times what it represents in the place to its right. For example, recognize that 700 ÷ 70 = 10 by applying concepts of place value and division.</t>
  </si>
  <si>
    <t>Understand the place value system</t>
  </si>
  <si>
    <t>4.NBT.A.2
(Part One)</t>
  </si>
  <si>
    <t>5.NBT.A.1</t>
  </si>
  <si>
    <t>Recognize that in a multi-digit number, a digit in one place represents 10 times as much as it represents in the place to its right and 1/10 of what it represents in the place to its left.</t>
  </si>
  <si>
    <t xml:space="preserve">Read and write multi-digit whole numbers using base-ten numerals, number names, and expanded form. </t>
  </si>
  <si>
    <t>Represent and solve problems involving multiplication and division.</t>
  </si>
  <si>
    <t>R - Will be used throughout grade bands
E - Yes, we use it... but will it ALWAYS be assessed?
A - Yup
L - Science
(Low priority)</t>
  </si>
  <si>
    <t>3.OA.A.1</t>
  </si>
  <si>
    <t>Interpret products of whole numbers, e.g., interpret 5 × 7 as the total number of objects in 5 groups of 7 objects each. For example, describe a context in which a total number of objects can be expressed as 5 × 7.</t>
  </si>
  <si>
    <t>R-Understanding will assist future grades in most math operations
E-underpins the base-ten number system and will be used throughout the year
A-several NBT place value questions appear on ACT Aspire</t>
  </si>
  <si>
    <t>3.OA.A.2</t>
  </si>
  <si>
    <t>4.NBT.A.2
(Part Two)</t>
  </si>
  <si>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</si>
  <si>
    <t>Compare two multi-digit numbers based on meanings of the digits in each place, using &gt;, =, and &lt; symbols to record the results of comparisons.</t>
  </si>
  <si>
    <t>5.NBT.A.2</t>
  </si>
  <si>
    <t>Explain patterns in the number of zeros of the product when multiplying a number by powers of 10, and explain patterns in the placement of the decimal point when a decimal is multiplied or divided by a power of 10. Use whole-number exponents to denote powers of 10.</t>
  </si>
  <si>
    <t>3.OA.A.3</t>
  </si>
  <si>
    <t>Use multiplication and division within 100 to solve word problems in situations involving equal groups, arrays, and measurement quantities, e.g., by using drawings and equations with a symbol for the unknown number to represent the problem.</t>
  </si>
  <si>
    <t>It will be assessed through DOK 3 question types based on skills (multiplication and division)</t>
  </si>
  <si>
    <t>4.NBT.A.3</t>
  </si>
  <si>
    <t>5.NBT.A.3</t>
  </si>
  <si>
    <t>Read, write, and compare decimals to thousandths.</t>
  </si>
  <si>
    <t>Use place value understanding to round multi-digit whole numbers to any place.</t>
  </si>
  <si>
    <t>3.OA.A.4</t>
  </si>
  <si>
    <t>Determine the unknown whole number in a multiplication or division equation relating three whole numbers. For example, determine the unknown number that makes the equation true in each of the equations 8 × ? = 48, 5 = _ ÷ 3, 6 × 6 = ?</t>
  </si>
  <si>
    <t>5.NBT.A.3a</t>
  </si>
  <si>
    <t>Read and write decimals to thousandths using base-ten numerals, number names, and expanded form, e.g., 347.392 = 3 × 100 + 4 × 10 + 7 × 1 + 3 × (1/10) + 9 × (1/100) + 2 × (1/1000).</t>
  </si>
  <si>
    <t>Understand properties of multiplication and the relationship between multiplication and division.</t>
  </si>
  <si>
    <t>A-1-2 questions on ACT Aspire</t>
  </si>
  <si>
    <t>3.OA.B.5</t>
  </si>
  <si>
    <t>Apply properties of operations as strategies to multiply and divide. Examples: If 6 × 4 = 24 is known, then 4 × 6 = 24 is also known. (Commutative property of multiplication.) 3 × 5 × 2 can be found by 3 × 5 = 15, then 15 × 2 = 30, or by 5 × 2 = 10, then 3 × 10 = 30. (Associative property of multiplication.) Knowing that 8 × 5 = 40 and 8 × 2 = 16, one can find 8 × 7 as 8 × (5 + 2) = (8 × 5) + (8 × 2) = 40 + 16 = 56. (Distributive property.)</t>
  </si>
  <si>
    <t>5.NBT.A.3b</t>
  </si>
  <si>
    <t>Compare two decimals to thousandths based on meanings of the digits in each place, using &gt;, =, and &lt; symbols to record the results of comparisons.</t>
  </si>
  <si>
    <t>4.NBT.B.4</t>
  </si>
  <si>
    <t>Fluently add and subtract multi-digit whole numbers using the standard algorithm.</t>
  </si>
  <si>
    <t>R-Ties in with rational numbers for 6th grade
A-1-2 questions on ACT Aspire</t>
  </si>
  <si>
    <t>3.OA.B.6</t>
  </si>
  <si>
    <t>Understand division as an unknownfactor problem. For example, find 32 ÷ 8 by finding the number that makes 32 when multiplied by 8.</t>
  </si>
  <si>
    <t>5.NBT.A.4</t>
  </si>
  <si>
    <t>Use place value understanding to round decimals to any place.</t>
  </si>
  <si>
    <t>4.NBT.B.5</t>
  </si>
  <si>
    <t>Multiply and divide within 100.</t>
  </si>
  <si>
    <t>Multiply a whole number of up to four digits by a one-digit whole number, and multiply two two-digit numbers, using strategies based on place value and the properties of operations. Illustrate and explain the calculation by using equations, rectangular arrays, and/or area models.</t>
  </si>
  <si>
    <t>4.NBT.B.6</t>
  </si>
  <si>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</si>
  <si>
    <t>E-Number sense skill useful when checking work
A-Assessed on ACT Aspire
L-Leverage with science concepts and making estimations</t>
  </si>
  <si>
    <t>Perform operations with multi-digit whole numbers and with decimals to hundredths.</t>
  </si>
  <si>
    <t>Use the four operations with whole numbers to solve problems.</t>
  </si>
  <si>
    <t>5.NBT.B.5</t>
  </si>
  <si>
    <t>Fluently multiply multi-digit whole numbers using the standard algorithm</t>
  </si>
  <si>
    <t>4.OA.A.1</t>
  </si>
  <si>
    <t>Interpret a multiplication equation as a comparison, e.g., interpret 35 = 5 × 7 as a statement that 35 is 5 times as many as 7 and 7 times as many as 5. Represent verbal statements of multiplicative comparisons as multiplication equations.</t>
  </si>
  <si>
    <t>E - Because of the vocabulary component (multiplicative comparison)</t>
  </si>
  <si>
    <t>R-required for 6th
E-used throughout the year, higher DOKs
A-heavily assessed 
L-useful for science and social studies</t>
  </si>
  <si>
    <t>4.OA.A.2</t>
  </si>
  <si>
    <t>Multiply or divide to solve word problems involving multiplicative comparison, e.g., by using drawings and equations with a symbol for the unknown number to represent the problem, distinguishing multiplicative comparison from additive comparison.</t>
  </si>
  <si>
    <t>5.NBT.B.6</t>
  </si>
  <si>
    <t>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t>
  </si>
  <si>
    <t>Should be integrated in assessments through DOK questions focused on this skill.</t>
  </si>
  <si>
    <t>R-required for 6th
E- ties into fractions and equal sharing
A-heavily assessed 
L-useful for science and social studies</t>
  </si>
  <si>
    <t>4.OA.A.3</t>
  </si>
  <si>
    <t>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t>
  </si>
  <si>
    <t>Should be integrated in assessments through DOK questions focused on this skill. Emphasize justification!</t>
  </si>
  <si>
    <t>Gain familiarity with factors and multiples.</t>
  </si>
  <si>
    <t>4.OA.B.4</t>
  </si>
  <si>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</si>
  <si>
    <t>essential</t>
  </si>
  <si>
    <t>Generate and analyze patterns.</t>
  </si>
  <si>
    <t>5.NBT.B.7</t>
  </si>
  <si>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</si>
  <si>
    <t>4.OA.C.5</t>
  </si>
  <si>
    <t>R-required for 6th
E-used throughout the year
A- 3-5 test questions
L-useful for science and social studies</t>
  </si>
  <si>
    <t>Generate a number or shape pattern that follows a given rule. Identify apparent features of the pattern that were not explicit in the rule itself. For example, given the rule “Add 3” and the starting number 1, generate terms in the resulting sequence and observe that the terms appear to alternate between odd and even numbers. Explain informally why the numbers will continue to alternate in this way.</t>
  </si>
  <si>
    <t>builds for 5/6</t>
  </si>
  <si>
    <t>Write and interpret numerical expressions</t>
  </si>
  <si>
    <t>4.G.A.1</t>
  </si>
  <si>
    <t>5.OA.A.1</t>
  </si>
  <si>
    <t>Draw points, lines, line segments, rays, angles (right, acute, obtuse), and perpendicular and parallel lines. Identify these in two-dimensional figures.</t>
  </si>
  <si>
    <t>Use parentheses, brackets, or braces in numerical expressions, and evaluate expressions with these symbols.</t>
  </si>
  <si>
    <t>R-required for 6th
E-useful throughout the year, often used in multi-step problems
A-3-5 test questions</t>
  </si>
  <si>
    <t>3.OA.C.7</t>
  </si>
  <si>
    <t>Fluently multiply and divide within 100, using strategies such as the relationship between multiplication and division (e.g., knowing that 8 × 5 = 40, one knows 40 ÷ 5 = 8) or properties of operations. By the end of Grade 3, know from memory all products of two one-digit numbers.</t>
  </si>
  <si>
    <t>4.G.A.2</t>
  </si>
  <si>
    <t>Classify two-dimensional figures based on the presence or absence of parallel or perpendicular lines, or the presence or absence of angles of a specified size. Recognize right triangles as a category, and identify right triangles.</t>
  </si>
  <si>
    <t>5.OA.A.2</t>
  </si>
  <si>
    <t>Write simple expressions that record calculations with numbers, and interpret numerical expressions without evaluating them. For example, express the calculation “add 8 and 7, then multiply by 2” as 2 × (8 + 7). Recognize that 3 × (18932 + 921) is three times as large as 18932 + 921, without having to calculate the indicated sum or product.</t>
  </si>
  <si>
    <t>Solve problems involving the four operations, and identify and explain patterns in arithmetic.</t>
  </si>
  <si>
    <t>R-required for 6th
E-useful throughout the year
A-3-5 test questions</t>
  </si>
  <si>
    <t>Analyze patterns and relationships</t>
  </si>
  <si>
    <t>5.OA.B.3</t>
  </si>
  <si>
    <t>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t>
  </si>
  <si>
    <t>3.OA.D.8</t>
  </si>
  <si>
    <t>R-required for 6th
A-3-5 test questions
L-science experiments, analyzing patterns (crosscutting concept in science)</t>
  </si>
  <si>
    <t>4.G.A.3</t>
  </si>
  <si>
    <t>Recognize a line of symmetry for a two-dimensional figure as a line across the figure such that the figure can be folded along the line into matching parts. Identify linesymmetric figures and draw lines of symmetry.</t>
  </si>
  <si>
    <t>-Include explanations in DOK 3 assessment questions
-Division is not a heavy emphasis</t>
  </si>
  <si>
    <t>Graph points on the coordinate plane to solve real-world and mathematical problems.</t>
  </si>
  <si>
    <t>tie into fractions</t>
  </si>
  <si>
    <t>3.OA.D.9</t>
  </si>
  <si>
    <t>Identify arithmetic patterns (including patterns in the addition table or multiplication table), and explain them using properties of operations. For example, observe that 4 times a number is always even, and explain why 4 times a number can be decomposed into two equal addends</t>
  </si>
  <si>
    <t>5.G.A.1</t>
  </si>
  <si>
    <t>Use a pair of perpendicular number lines, called axes, to define a coordinate system, with the intersection of the lines (the origin) arranged to coincide with the 0 on each line and a given point in the plane located by using an ordered pair of numbers, called its coordinates. Understand that the first number indicates how far to travel from the origin in the direction of one axis, and the second number indicates how far to travel in the direction of the second axis, with the convention that the names of the two axes and the coordinates correspond (e.g., x-axis and x-coordinate, y-axis and y-coordinate).</t>
  </si>
  <si>
    <t>Solve problems involving measurement and conversion of measurements.</t>
  </si>
  <si>
    <t>R-required for 6th
A-3-5 test questions for geometry
L-foundational skill for creating data representations in science</t>
  </si>
  <si>
    <t>4.MD.A.1</t>
  </si>
  <si>
    <t>Know relative sizes of measurement units within one system of units including km, m, cm; kg, g; lb, oz.; l, ml; hr, min, sec. Within a single system of measurement, express measurements in a larger unit in terms of a smaller unit. Record measurement equivalents in a twocolumn table. For example, know that 1 ft is 12 times as long as 1 in. Express the length of a 4 ft snake as 48 in. Generate a conversion table for feet and inches listing the number pairs (1, 12), (2, 24), (3, 36), ...</t>
  </si>
  <si>
    <t>Science</t>
  </si>
  <si>
    <t>5.G.A.2</t>
  </si>
  <si>
    <t>Represent real world and mathematical problems by graphing points in the first quadrant of the coordinate plane, and interpret coordinate values of points in the context of the situation.</t>
  </si>
  <si>
    <t>3.G.A.1</t>
  </si>
  <si>
    <t>Understand that shapes in different categories (e.g., rhombuses, rectangles, and others) may share attributes (e.g., having four sides), and that the shared attributes can define a larger category (e.g., quadrilaterals). Recognize rhombuses, rectangles, and squares as examples of quadrilaterals, and draw examples of quadrilaterals that do not belong to any of these subcategories.</t>
  </si>
  <si>
    <t>4.MD.A.2</t>
  </si>
  <si>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</si>
  <si>
    <t>Classify two-dimensional figures into categories based on their properties.</t>
  </si>
  <si>
    <t>Dok 3</t>
  </si>
  <si>
    <t>3.G.A.2</t>
  </si>
  <si>
    <t>Partition shapes into parts with equal areas. Express the area of each part as a unit fraction of the whole. For example, partition a shape into 4 parts with equal area, and describe the area of each part as 1/4 of the area of the shape.</t>
  </si>
  <si>
    <t>5.G.B.3</t>
  </si>
  <si>
    <t>Understand that attributes belonging to a category of two-dimensional figures also belong to all subcategories of that category. For example, all rectangles have four right angles and squares are rectangles, so all squares have four right angles.</t>
  </si>
  <si>
    <t>4.MD.A.3</t>
  </si>
  <si>
    <t>Apply the area and perimeter formulas for rectangles in real world and mathematical problems. For example, find the width of a rectangular room given the area of the flooring and the length, by viewing the area formula as a multiplication equation with an unknown factor.</t>
  </si>
  <si>
    <t>R- needed for some operations in 6th
A- geometry has 3-5 test questions</t>
  </si>
  <si>
    <t>Solve problems involving measurement and estimation.</t>
  </si>
  <si>
    <t>5.G.B.4</t>
  </si>
  <si>
    <t>Classify two-dimensional figures in a hierarchy based on properties.</t>
  </si>
  <si>
    <t>3.MD.A.1</t>
  </si>
  <si>
    <t>Tell and write time to the nearest minute and measure time intervals in minutes. Solve word problems involving addition and subtraction of time intervals in minutes, e.g., by representing the problem on a number line diagram.</t>
  </si>
  <si>
    <t>E - Real world
A - Likely
L - Science</t>
  </si>
  <si>
    <t>4.MD.B.4</t>
  </si>
  <si>
    <t>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t>
  </si>
  <si>
    <t>3.MD.A.2</t>
  </si>
  <si>
    <t>Measure and estimate liquid volumes and masses of objects using standard units of grams (g), kilograms (kg), and liters (l). Add, subtract, multiply, or divide to solve one-step word problems involving masses or volumes that are given in the same units, e.g., by using drawings (such as a beaker with a measurement scale) to represent the problem</t>
  </si>
  <si>
    <t>Convert like measurement units within a given measurement system.</t>
  </si>
  <si>
    <t>5.MD.A.1</t>
  </si>
  <si>
    <t>Taught within Science</t>
  </si>
  <si>
    <t>Convert among different-sized standard measurement units within a given measurement system (e.g., convert 5 cm to 0.05 m), and use these conversions in solving multistep, real world problems.</t>
  </si>
  <si>
    <t>Geometric measurement: understand concepts of angle and measure angles.</t>
  </si>
  <si>
    <t xml:space="preserve">R-utilized 6th
E- comes up again with word problems and multi-step problems
A-not assessed
L-useful for conversions in future grades
</t>
  </si>
  <si>
    <t>4.MD.C.5</t>
  </si>
  <si>
    <t>Recognize angles as geometric shapes that are formed wherever two rays share a common endpoint, and understand concepts of angle measurement:</t>
  </si>
  <si>
    <t>3.MD.B.3</t>
  </si>
  <si>
    <t>Draw a scaled picture graph and a scaled bar graph to represent a data set with several categories. Solve oneand two-step “how many more” and “how many less” problems using information presented in scaled bar graphs. For example, draw a bar graph in which each square in the bar graph might represent 5 pets.</t>
  </si>
  <si>
    <t>5.MD.B.2</t>
  </si>
  <si>
    <t>Make a line plot to display a data set of measurements in fractions of a unit (1/2, 1/4, 1/8). Use operations on fractions for this grade to solve problems involving information presented in line plots. For example, given different measurements of liquid in identical beakers, find the amount of liquid each beaker would contain if the total amount in all the beakers were redistributed equally.</t>
  </si>
  <si>
    <t>Not a prerequisite for 5th grade</t>
  </si>
  <si>
    <t>Taught within Science
-Graphing!</t>
  </si>
  <si>
    <t>E- fraction operations extend to fraction operations in future grades</t>
  </si>
  <si>
    <t>3.MD.B.4</t>
  </si>
  <si>
    <t>Generate measurement data by measuring lengths using rulers marked with halves and fourths of an inch. Show the data by making a line plot, where the horizontal scale is marked off in appropriate units— whole numbers, halves, or quarters.</t>
  </si>
  <si>
    <t>4.MD.C.5a</t>
  </si>
  <si>
    <t>An angle is measured with reference to a circle with its center at the common endpoint of the rays, by considering the fraction of the circular arc between the points where the two rays intersect the circle. An angle that turns through 1/360 of a circle is called a “one-degree angle,” and can be used to measure angles.</t>
  </si>
  <si>
    <t>Geometric measurement: understand concepts of volume.</t>
  </si>
  <si>
    <t>Extension</t>
  </si>
  <si>
    <t>Geometric measurement: understand concepts of area and relate area to multiplication and to addition.</t>
  </si>
  <si>
    <t>4.MD.C.5b</t>
  </si>
  <si>
    <t>An angle that turns through n onedegree angles is said to have an angle measure of n degrees</t>
  </si>
  <si>
    <t>5.MD.C.3</t>
  </si>
  <si>
    <t>Recognize volume as an attribute of solid figures and understand concepts of volume measurement.</t>
  </si>
  <si>
    <t>3.MD.C.5</t>
  </si>
  <si>
    <t>Recognize area as an attribute of plane figures and understand concepts of area measurement.</t>
  </si>
  <si>
    <t>R-foundational for 6th
A-3-5 test questions for geometry
L-foundational skill for creating data representations in science</t>
  </si>
  <si>
    <t>4.MD.C.6</t>
  </si>
  <si>
    <t>Measure angles in whole-number degrees using a protractor. Sketch angles of specified measure.</t>
  </si>
  <si>
    <t>3.MD.C.5a</t>
  </si>
  <si>
    <t>5.MD.C.3a</t>
  </si>
  <si>
    <t>A square with side length 1 unit, called “a unit square,” is said to have “one square unit” of area, and can be used to measure area.</t>
  </si>
  <si>
    <t>A cube with side length 1 unit, called a “unit cube,” is said to have “one cubic unit” of volume, and can be used to measure volume.</t>
  </si>
  <si>
    <t xml:space="preserve">Extension </t>
  </si>
  <si>
    <t>R-Foundational for 6th 
A-3-5 questions for measurement and data
L-Volume is used throughout experiments in science</t>
  </si>
  <si>
    <t>3.MD.C.5b</t>
  </si>
  <si>
    <t>4.MD.C.7</t>
  </si>
  <si>
    <t>A plane figure which can be covered without gaps or overlaps by n unit squares is said to have an area of n square units.</t>
  </si>
  <si>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</si>
  <si>
    <t>5.MD.C.3b</t>
  </si>
  <si>
    <t>A solid figure which can be packed without gaps or overlaps using n unit cubes is said to have a volume of n cubic units.</t>
  </si>
  <si>
    <t>Number Sense and Fractions</t>
  </si>
  <si>
    <t>3.MD.C.6</t>
  </si>
  <si>
    <t>Measure areas by counting unit squares (square cm, square m, square in, square ft, and improvised units).</t>
  </si>
  <si>
    <t>5.MD.C.4</t>
  </si>
  <si>
    <t>Measure volumes by counting unit cubes, using cubic cm, cubic in, cubic ft, and improvised units.</t>
  </si>
  <si>
    <t>3.MD.C.7</t>
  </si>
  <si>
    <t>Relate area to the operations of multiplication and addition.</t>
  </si>
  <si>
    <t>Extend understanding of fraction equivalence and ordering.</t>
  </si>
  <si>
    <t>5.MD.C.5</t>
  </si>
  <si>
    <t>Relate volume to the operations of multiplication and addition and solve real world and mathematical problems involving volume. (See 5.a &amp;5.b)</t>
  </si>
  <si>
    <t>3.MD.C.7a</t>
  </si>
  <si>
    <t>Find the area of a rectangle with whole-number side lengths by tiling it, and show that the area is the same as would be found by multiplying the side lengths.</t>
  </si>
  <si>
    <t>4.NF.A.1</t>
  </si>
  <si>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</si>
  <si>
    <t>3.MD.C.7b</t>
  </si>
  <si>
    <t>Multiply side lengths to find areas of rectangles with whole-number side lengths in the context of solving real world and mathematical problems, and represent whole-number products as rectangular areas in mathematical reasoning.</t>
  </si>
  <si>
    <t>5.MD.C.5a</t>
  </si>
  <si>
    <t>Find the volume of a right rectangular prism with whole-number side lengths by packing it with unit cubes, and show that the volume is the same as would be found by multiplying the edge lengths, equivalently by multiplying the height by the area of the base. Represent threefold whole-number products as volumes, e.g., to represent the associative property of multiplication.</t>
  </si>
  <si>
    <t>4.NF.A.2</t>
  </si>
  <si>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</si>
  <si>
    <t>3.MD.C.7c</t>
  </si>
  <si>
    <t>Use tiling to show in a concrete case that the area of a rectangle with whole-number side lengths a and b + c is the sum of a × b and a × c. Use area models to represent the distributive property in mathematical reasoning.</t>
  </si>
  <si>
    <t>Build fractions from unit fractions.</t>
  </si>
  <si>
    <t>5.MD.C.5b</t>
  </si>
  <si>
    <t>Apply the formulas V = l × w × h and V = b × h for rectangular prisms to find volumes of right rectangular prisms with whole-number edge lengths in the context of solving real world and mathematical problems.</t>
  </si>
  <si>
    <t>3.MD.C.7d</t>
  </si>
  <si>
    <t>Recognize area as additive. Find areas of rectilinear figures by decomposing them into nonoverlapping rectangles and adding the areas of the non-overlapping parts, applying this technique to solve real world problems.</t>
  </si>
  <si>
    <t>4.NF.B.3</t>
  </si>
  <si>
    <t>Understand a fraction a/b with a &gt; 1 as a sum of fractions 1/b.</t>
  </si>
  <si>
    <t>Geometric measurement: recognize perimeter.</t>
  </si>
  <si>
    <t>3.MD.D.8</t>
  </si>
  <si>
    <t>5.MD.C.5c</t>
  </si>
  <si>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</si>
  <si>
    <t>Recognize volume as additive. Find volumes of solid figures composed of two non-overlapping right rectangular prisms by adding the volumes of the non-overlapping parts, applying this technique to solve real world problems.</t>
  </si>
  <si>
    <t>Addressed within 3a-3c</t>
  </si>
  <si>
    <t>4.NF.B.3a</t>
  </si>
  <si>
    <t>Understand addition and subtraction of fractions as joining and separating parts referring to the same whole.</t>
  </si>
  <si>
    <t>Develop understanding of fractions as numbers.</t>
  </si>
  <si>
    <t>Use equivalent fractions as a strategy to add and subtract fractions.</t>
  </si>
  <si>
    <t>5.NF.A.1</t>
  </si>
  <si>
    <t>3.NF.A.1</t>
  </si>
  <si>
    <t>Understand a fraction 1/b as the quantity formed by 1 part when a whole is partitioned into b equal parts; understand a fraction a/b as the quantity formed by a parts of size 1/b.</t>
  </si>
  <si>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</si>
  <si>
    <t>4.NF.B.3b</t>
  </si>
  <si>
    <t>Decompose a fraction into a sum of fractions with the same denominator in more than one way, recording each decomposition by an equation. Justify decompositions, e.g., by using a visual fraction model. Examples: 3/8 = 1/8 + 1/8 + 1/8 ; 3/8 = 1/8 + 2/8 ; 2 1/8 = 1 + 1 + 1/8 = 8/8 + 8/8 + 1/8.</t>
  </si>
  <si>
    <t>3a and 3b go together (teach b before a)
Both are prerequisites for 3c</t>
  </si>
  <si>
    <t>R- used in a variety of problems in 6th, usually as a DoK3
A- 4-6 questions on ACT
L- used in science and real life skills</t>
  </si>
  <si>
    <t>3.NF.A.2</t>
  </si>
  <si>
    <t>Understand a fraction as a number on the number line; represent fractions on a number line diagram.</t>
  </si>
  <si>
    <t>5.NF.A.2</t>
  </si>
  <si>
    <t>4.NF.B.3c</t>
  </si>
  <si>
    <t>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t>
  </si>
  <si>
    <t>Add and subtract mixed numbers with like denominators, e.g., by replacing each mixed number with an equivalent fraction, and/or by using properties of operations and the relationship between addition and subtraction.</t>
  </si>
  <si>
    <t>R-used in a variety of problems in 6th, usually as a DoK3
A- 4-6 questions on ACT
L- used in science and real life skills</t>
  </si>
  <si>
    <t>Apply and extend previous understandings of multiplication and division.</t>
  </si>
  <si>
    <t>4.NF.B.3d</t>
  </si>
  <si>
    <t>Solve word problems involving addition and subtraction of fractions referring to the same whole and having like denominators, e.g., by using visual fraction models and equations to represent the problem</t>
  </si>
  <si>
    <t>DOK 3 assessment questions</t>
  </si>
  <si>
    <t>5.NF.B.3</t>
  </si>
  <si>
    <t>Interpret a fraction as division of the numerator by the denominator (a/b = a ÷ b). Solve word problems involving division of whole numbers leading to answers in the form of fractions or mixed numbers, e.g., by using visual fraction models or equations to represent the problem. For example, interpret 3/4 as the result of dividing 3 by 4, noting that 3/4 multiplied by 4 equals 3, and that when 3 wholes are shared equally among 4 people each person has a share of size 3/4. If 9 people want to share a 50-pound sack of rice equally by weight, how many pounds of rice should each person get? Between what two whole numbers does your answer lie?</t>
  </si>
  <si>
    <t>4.NF.B.4</t>
  </si>
  <si>
    <t>R- needed for foundational skill in 6th grade and beyond
E- critical understanding to perform algebra
A- 4-6 questions on ACT Aspire
L- used in science and real world skills (needed for equal sharing)</t>
  </si>
  <si>
    <t>Apply and extend previous understandings of multiplication to multiply a fraction by a whole number.</t>
  </si>
  <si>
    <t>B.4 addressed in 4a-c</t>
  </si>
  <si>
    <t>4.NF.B.4a</t>
  </si>
  <si>
    <t>Understand a fraction a/b as a multiple of 1/b. For example, use a visual fraction model to represent 5/4 as the product 5 × (1/4), recording the conclusion by the equation 5/4 = 5 × (1/4).</t>
  </si>
  <si>
    <t>5.NF.B.4</t>
  </si>
  <si>
    <t>Apply and extend previous understandings of multiplication to multiply a fraction or whole number by a fraction.</t>
  </si>
  <si>
    <t xml:space="preserve">R - Necessary for the following grades
E - </t>
  </si>
  <si>
    <t>4.NF.B.4b</t>
  </si>
  <si>
    <t>Understand a multiple of a/b as a multiple of 1/b, and use this understanding to multiply a fraction by a whole number. For example, use a visual fraction model to express 3 × (2/5) as 6 × (1/5), recognizing this product as 6/5. (In general, n × (a/b) = (n × a)/b.)</t>
  </si>
  <si>
    <t>DOK 2- use</t>
  </si>
  <si>
    <t>5.NF.B.4a</t>
  </si>
  <si>
    <t>Interpret the product (a/b) × q as a parts of a partition of q into b equal parts; equivalently, as the result of a sequence of operations a × q ÷ b. For example, use a visual fraction model to show (2/3) × 4 = 8/3, and create a story context for this equation. Do the same with (2/3) × (4/5) = 8/15. (In general, (a/b) × (c/d) = ac/bd.)</t>
  </si>
  <si>
    <t>4.NF.B.4c</t>
  </si>
  <si>
    <t>Solve word problems involving multiplication of a fraction by a whole number, e.g., by using visual fraction models and equations to represent the problem. For example, if each person at a party will eat 3/8 of a pound of roast beef, and there will be 5 people at the party, how many pounds of roast beef will be needed? Between what two whole numbers does your answer lie?</t>
  </si>
  <si>
    <t>5.NF.B.4b</t>
  </si>
  <si>
    <t>Find the area of a rectangle with fractional side lengths by tiling it with unit squares of the appropriate unit fraction side lengths, and show that the area is the same as would be found by multiplying the side lengths. Multiply fractional side lengths to find areas of rectangles, and represent fraction products as rectangular areas.</t>
  </si>
  <si>
    <t>Understand decimal notation for fractions, and compare decimal fractions.</t>
  </si>
  <si>
    <t>5.NF.B.5a</t>
  </si>
  <si>
    <t>Comparing the size of a product to the size of one factor on the basis of the size of the other factor, without performing the indicated multiplication.</t>
  </si>
  <si>
    <t>R- useful for foundational skill in 6th grade and beyond
A- 4-6 questions on ACT Aspire</t>
  </si>
  <si>
    <t>4.NF.C.5</t>
  </si>
  <si>
    <t>Express a fraction with denominator 10 as an equivalent fraction with denominator 100, and use this technique to add two fractions with respective denominators 10 and 100. For example, express 3/10 as 30/100, and add 3/10 + 4/100 = 34/100.</t>
  </si>
  <si>
    <t>strategy?</t>
  </si>
  <si>
    <t>5.NF.B.5b</t>
  </si>
  <si>
    <t>Explaining why multiplying a given number by a fraction greater than 1 results in a product greater than the given number (recognizing multiplication by whole numbers greater than 1 as a familiar case); explaining why multiplying a given number by a fraction less than 1 results in a product smaller than the given number; and relating the principle of fraction equivalence a/b = (n × a)/(n × b) to the effect of multiplying a/b by 1.</t>
  </si>
  <si>
    <t>4.NF.C.6</t>
  </si>
  <si>
    <t>Use decimal notation for fractions with denominators 10 or 100. For example, rewrite 0.62 as 62/100; describe a length as 0.62 meters; locate 0.62 on a number line diagram</t>
  </si>
  <si>
    <t>3.NF.A.2a</t>
  </si>
  <si>
    <t>Represent a fraction 1/b on a number line diagram by defining the interval from 0 to 1 as the whole and partitioning it into b equal parts. Recognize that each part has size 1/b and that the endpoint of the part based at 0 locates the number 1/b on the number line.</t>
  </si>
  <si>
    <t>5.NF.B.6</t>
  </si>
  <si>
    <t>Solve real world problems involving multiplication of fractions and mixed numbers, e.g., by using visual fraction models or equations to represent the problem.</t>
  </si>
  <si>
    <t>R- needed for foundational skill in 6th grade and beyond
A- 4-6 questions on ACT Aspire</t>
  </si>
  <si>
    <t>3.NF.A.2b</t>
  </si>
  <si>
    <t>4.NF.C.7</t>
  </si>
  <si>
    <t>Represent a fraction a/b on a number line diagram by marking off a lengths 1/b from 0. Recognize that the resulting interval has size a/b and that its endpoint locates the number a/b on the number line.</t>
  </si>
  <si>
    <t>Compare two decimals to hundredths by reasoning about their size. Recognize that comparisons are valid only when the two decimals refer to the same whole. Record the results of comparisons with the symbols &gt;, =, or &lt;, and justify the conclusions, e.g., by using a visual model.</t>
  </si>
  <si>
    <t>5.NF.B.7</t>
  </si>
  <si>
    <t>Apply and extend previous understandings of division to divide unit fractions by whole numbers and whole numbers by unit fractions.</t>
  </si>
  <si>
    <t>R- needed for foundational skill in 6th grade and beyond
E- critical understanding to perform algebra
A- 4-6 questions on ACT Aspire</t>
  </si>
  <si>
    <t>3.NF.A.3</t>
  </si>
  <si>
    <t>Explain equivalence of fractions in special cases, and compare fractions by reasoning about their size.</t>
  </si>
  <si>
    <t>5.NF.B.7a</t>
  </si>
  <si>
    <t>Interpret division of a unit fraction by a non-zero whole number, and compute such quotients. For example, create a story context for (1/3) ÷ 4, and use a visual fraction model to show the quotient. Use the relationship between multiplication and division to explain that (1/3) ÷ 4 = 1/12 because (1/12) × 4 = 1/3.</t>
  </si>
  <si>
    <t>Addressed in 3a-3d</t>
  </si>
  <si>
    <t>3.NF.A.3a</t>
  </si>
  <si>
    <t>Understand two fractions as equivalent (equal) if they are the same size, or the same point on a number line.</t>
  </si>
  <si>
    <t>5.NF.B.7b</t>
  </si>
  <si>
    <t>Interpret division of a whole number by a unit fraction, and compute such quotients. For example, create a story context for 4 ÷ (1/5), and use a visual fraction model to show the quotient. Use the relationship between multiplication and division to explain that 4 ÷ (1/5) = 20 because 20 × (1/5) = 4.</t>
  </si>
  <si>
    <t>3.NF.A.3b</t>
  </si>
  <si>
    <t>Recognize and generate simple equivalent fractions, e.g., 1/2 = 2/4, 4/6 = 2/3. Explain why the fractions are equivalent, e.g., by using a visual fraction model.</t>
  </si>
  <si>
    <t>5.NF.B.7c</t>
  </si>
  <si>
    <t>Solve real world problems involving division of unit fractions by non-zero whole numbers and division of whole numbers by unit fractions, e.g., by using visual fraction models and equations to represent the problem. For example, how much chocolate will each person get if 3 people share 1/2 lb of chocolate equally? How many 1/3-cup servings are in 2 cups of raisins?</t>
  </si>
  <si>
    <t>3.NF.A.3c</t>
  </si>
  <si>
    <t>Express whole numbers as fractions, and recognize fractions that are equivalent to whole numbers. Examples: Express 3 in the form 3 = 3/1; recognize that 6/1 = 6; locate 4/4 and 1 at the same point of a number line diagram</t>
  </si>
  <si>
    <t>R- useful for foundational skill in 6th grade and beyond
A- 4-6 questions on ACT Aspire
L- used in science and real world skills (needed for equal sharing)</t>
  </si>
  <si>
    <t>3.NF.A.3d</t>
  </si>
  <si>
    <t>Compare two fractions with the same numerator or the same denominator by reasoning about their size. Recognize that comparisons are valid only when the two fractions refer to the same whole. Record the results of comparisons with the symbols &gt;, =, or &lt;, and justify the conclusions, e.g., by using a visual fraction model.</t>
  </si>
  <si>
    <t>Write and interpret numerical expression</t>
  </si>
  <si>
    <t>6th Math Standards</t>
  </si>
  <si>
    <t>Number Systens</t>
  </si>
  <si>
    <t>Apply and extend previous understandings of multiplication and division to divide fractions by fractions.</t>
  </si>
  <si>
    <t>6.NS.A.1</t>
  </si>
  <si>
    <t xml:space="preserve">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t>
  </si>
  <si>
    <t xml:space="preserve"> </t>
  </si>
  <si>
    <t>R- required for algebra
E- used past high school
A- 1-3 questions on ACT
L-</t>
  </si>
  <si>
    <t>Compute fluently with multi-digit numbers and find common factors and multiples.</t>
  </si>
  <si>
    <t>6.NS.B.2</t>
  </si>
  <si>
    <t>Fluently divide multi-digit numbers using the standard algorithm.</t>
  </si>
  <si>
    <t>R- 
E-
A- 1-3 questions on ACT
L-</t>
  </si>
  <si>
    <t>6.NS.B.3</t>
  </si>
  <si>
    <t>Fluently add, subtract, multiply, and divide multi-digit decimals using the standard algorithm for each operation.</t>
  </si>
  <si>
    <t>R- required for algebra
E- needed for nearly all future math
A- 1-3 questions on ACT
L- useful in science and real life skills</t>
  </si>
  <si>
    <t>6.NS.B.4</t>
  </si>
  <si>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</si>
  <si>
    <t>R- needed to factor polynomials in 7th and 8th
E- occurs throughout algebra
A- 3-5 questions on ACT
L-</t>
  </si>
  <si>
    <t>Apply and extend previous understandings of numbers to the system of rational numbers.</t>
  </si>
  <si>
    <t>6.NS.C.5</t>
  </si>
  <si>
    <t>Understand that positive and negative numbers are used together to describe quantities having opposite directions or values (e.g., temperature above/below zero, elevation above/below sea level, credits/debits, positive/negative electric charge); use positive and negative numbers to represent quantities in real-world contexts, explaining the meaning of 0 in each situation.</t>
  </si>
  <si>
    <t>R- foundational for algebra
E- used past 12th grade
A- 3-5 questions on ACT
L-</t>
  </si>
  <si>
    <t>6.NS.C.6</t>
  </si>
  <si>
    <t>Understand a rational number as a point on the number line. Extend number line diagrams and coordinate axes familiar from previous grades to represent points on the line and in the plane with negative number coordinates.</t>
  </si>
  <si>
    <t>6.NS.C.6a</t>
  </si>
  <si>
    <t>Recognize opposite signs of numbers as indicating locations on opposite sides of 0 on the number line; recognize that the opposite of the opposite of a number is the number itself, e.g., –(–3) = 3, and that 0 is its own opposite</t>
  </si>
  <si>
    <t>6.NS.C.6b</t>
  </si>
  <si>
    <t>Understand signs of numbers in ordered pairs as indicating locations in quadrants of the coordinate plane; recognize that when two ordered pairs differ only by signs, the locations of the points are related by reflections across one or both axes.</t>
  </si>
  <si>
    <t>R- useful interpreting graphs
E- used past 12th grade
A- 3-5 questions on ACT
L-</t>
  </si>
  <si>
    <t>6.NS.C.6c</t>
  </si>
  <si>
    <t>Find and position integers and other rational numbers on a horizontal or vertical number line diagram; find and position pairs of integers and other rational numbers on a coordinate plane.</t>
  </si>
  <si>
    <t>6.NS.C.7</t>
  </si>
  <si>
    <t>Understand ordering and absolute value of rational numbers.</t>
  </si>
  <si>
    <t>R-Useful for algebra
E-foundational number sense for algebraic operations
A-3-5 questions on ACT
L-</t>
  </si>
  <si>
    <t>6.NS.C.7a</t>
  </si>
  <si>
    <t>Interpret statements of inequality as statements about the relative position of two numbers on a number line diagram. For example, interpret –3 &gt; –7 as a statement that –3 is located to the right of –7 on a number line oriented from left to right</t>
  </si>
  <si>
    <t>6.NS.C.7b</t>
  </si>
  <si>
    <t>Write, interpret, and explain statements of order for rational numbers in real-world contexts. For example, write –3˚C &gt; –7˚C to express the fact that –3˚C is warmer than –7˚C.</t>
  </si>
  <si>
    <t>6.NS.C.7c</t>
  </si>
  <si>
    <t>Understand the absolute value of a rational number as its distance from 0 on the number line; interpret absolute value as magnitude for a positive or negative quantity in a real-world situation. For example, for an account balance of –30 dollars, write |–30| = 30 to describe the size of the debt in dollars</t>
  </si>
  <si>
    <t>6.NS.C.7d</t>
  </si>
  <si>
    <t>Distinguish comparisons of absolute value from statements about order. For example, recognize that an account balance less than –30 dollars represents a debt greater than 30 dollars.</t>
  </si>
  <si>
    <t>6.NS.C.8</t>
  </si>
  <si>
    <t>Solve real-world and mathematical problems by graphing points in all four quadrants of the coordinate plane. Include use of coordinates and absolute value to find distances between points with the same first coordinate or the same second coordinate.</t>
  </si>
  <si>
    <t>Expressions and Equations</t>
  </si>
  <si>
    <t>Apply and extend previous understandings of arithmetic to algebraic expressions.</t>
  </si>
  <si>
    <t>6.EE.A.1</t>
  </si>
  <si>
    <t>Write and evaluate numerical expressions involving whole-number exponents.</t>
  </si>
  <si>
    <t>R- used till 12th
E- comes up again with higher DoK questions
A- 3-5 questions on ACT
L-</t>
  </si>
  <si>
    <t>6.EE.A.2</t>
  </si>
  <si>
    <t>Write, read, and evaluate expressions in which letters stand for numbers.</t>
  </si>
  <si>
    <t>R-
E-
A-
L-</t>
  </si>
  <si>
    <t>6.EE.A.2a</t>
  </si>
  <si>
    <t>Write expressions that record operations with numbers and with letters standing for numbers. For example, express the calculation “Subtract y from 5” as 5 – y.</t>
  </si>
  <si>
    <t>6.EE.A.2b</t>
  </si>
  <si>
    <t>Identify parts of an expression using mathematical terms (sum, term, product, factor, quotient, coefficient); view one or more parts of an expression as a single entity. For example, describe the expression 2 (8 + 7) as a product of two factors; view (8 + 7) as both a single entity and a sum of two terms.</t>
  </si>
  <si>
    <t>6.EE.A.2c</t>
  </si>
  <si>
    <t>Evaluate expressions at specific values of their variables. Include expressions that arise from formulas used in realworld problems. Perform arithmetic operations, including those involving whole-number exponents, in the conventional order when there are no parentheses to specify a particular order (Order of Operations). For example, use the formulas V = s3 and A = 6 s2 to find the volume and surface area of a cube with sides of length s = 1/2.</t>
  </si>
  <si>
    <t>6.EE.A.3</t>
  </si>
  <si>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</si>
  <si>
    <t>6.EE.A.4</t>
  </si>
  <si>
    <t>Identify when two expressions are equivalent (i.e., when the two expressions name the same number regardless of which value is substituted into them). For example, the expressions y + y + y and 3y are equivalent because they name the same number regardless of which number y stands for.</t>
  </si>
  <si>
    <t>Reason about and solve one-variable equations and inequalities.</t>
  </si>
  <si>
    <t>6.EE.B.5</t>
  </si>
  <si>
    <t>Understand solving an equation or inequality as a process of answering a question: which values from a specified set, if any, make the equation or inequality true? Use substitution to determine whether a given number in a specified set makes an equation or inequality true.</t>
  </si>
  <si>
    <t>6.EE.B.6</t>
  </si>
  <si>
    <t>Use variables to represent numbers and write expressions when solving a real-world or mathematical problem; understand that a variable can represent an unknown number, or, depending on the purpose at hand, any number in a specified set.</t>
  </si>
  <si>
    <t>6.EE.B.7</t>
  </si>
  <si>
    <t>Solve real-world and mathematical problems by writing and solving equations of the form x + p = q and px = q for cases in which p, q and x are all nonnegative rational numbers.</t>
  </si>
  <si>
    <t>R- used past 12th
E- solving for unknowns, part of DoK3's
A- 3-5 questions
L- used to make predictions in science</t>
  </si>
  <si>
    <t>6.EE.B.8</t>
  </si>
  <si>
    <t>Write an inequality of the form x &gt; c or x &lt; c to represent a constraint or condition in a real-world or mathematical problem. Recognize that inequalities of the form x &gt; c or x &lt; c have infinitely many solutions; represent solutions of such inequalities on number line diagrams.</t>
  </si>
  <si>
    <t>R- used past 12th
A- 3-5 questions
L- used to make predictions in science</t>
  </si>
  <si>
    <t>Represent and analyze quantitative relationships between dependent and independent variables.</t>
  </si>
  <si>
    <t>6.EE.C.9</t>
  </si>
  <si>
    <t>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For example, in a problem involving motion at constant speed, list and graph ordered pairs of distances and times, and write the equation d = 65t to represent the relationship between distance and time.</t>
  </si>
  <si>
    <t>R-Used past 12th
E-Solving for unknowns
A-3-5 Questions on ACT Aspire
L-Science and real-world applications</t>
  </si>
  <si>
    <t>Solve real-world and mathematical problems involving area, surface area, and volume.</t>
  </si>
  <si>
    <t>6.G.A.1</t>
  </si>
  <si>
    <t>Find the area of right triangles, other triangles, special quadrilaterals, and polygons by composing into rectangles or decomposing into triangles and other shapes; apply these techniques in the context of solving real-world and mathematical problems</t>
  </si>
  <si>
    <t>R- needed as part of geometry proofs
E- ties into EE standards when finding unknowns
A- 5-7 questions on ACT aspire
L-</t>
  </si>
  <si>
    <t>6.G.A.2</t>
  </si>
  <si>
    <t>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t>
  </si>
  <si>
    <t>6.G.A.3</t>
  </si>
  <si>
    <t>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</si>
  <si>
    <t>R-
E-
A-5-7 questions on ACT Aspire
L-</t>
  </si>
  <si>
    <t>6.G.A.4</t>
  </si>
  <si>
    <t>Represent three-dimensional figures using nets made up of rectangles and triangles, and use the nets to find the surface area of these figures. Apply these techniques in the context of solving real-world and mathematical problems.</t>
  </si>
  <si>
    <t>R-
E- ties into other geometry skills
A- 5-7 questions on ACT Aspire
L-</t>
  </si>
  <si>
    <t>Ratios  and Proportions</t>
  </si>
  <si>
    <t>Understand ratio concepts and use ratio reasoning to solve problems.</t>
  </si>
  <si>
    <t>6.RP.A.1</t>
  </si>
  <si>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</si>
  <si>
    <t>R- used heavily in 7th
A- 3-5 questions on ACT Aspire
L- intrepreting or predicting science results, real-world problems</t>
  </si>
  <si>
    <t>6.RP.A.2</t>
  </si>
  <si>
    <t>Understand the concept of a unit rate a/b associated with a ratio a:b with b ≠ 0, and use rate language in the context of a ratio relationship. For example, “This recipe has a ratio of 3 cups of flour to 4 cups of sugar, so there is 3/4 cup of flour for each cup of sugar.” “We paid $75 for 15 hamburgers, which is a rate of $5 per hamburger.”</t>
  </si>
  <si>
    <t>R- used heavily in 7th
E- ties into EE skills when finding unknowns
A- 3-5 questions on ACT Aspire
L- intrepreting or predicting science results, real world problems</t>
  </si>
  <si>
    <t>6.RP.A.3</t>
  </si>
  <si>
    <t>Use ratio and rate reasoning to solve real-world and mathematical problems, e.g., by reasoning about tables of equivalent ratios, tape diagrams, double number line diagrams, or equations.</t>
  </si>
  <si>
    <t>6.RP.A.3a</t>
  </si>
  <si>
    <t>Make tables of equivalent ratios relating quantities with whole-number measurements, find missing values in the tables, and plot the pairs of values on the coordinate plane. Use tables to compare ratios</t>
  </si>
  <si>
    <t>6.RP.A.3b</t>
  </si>
  <si>
    <t>Solve unit rate problems including those involving unit pricing and constant speed. For example, if it took 7 hours to mow 4 lawns, then at that rate, how many lawns could be mowed in 35 hours? At what rate were lawns being mowed?</t>
  </si>
  <si>
    <t>6.RP.A.3c</t>
  </si>
  <si>
    <t>Find a percent of a quantity as a rate per 100 (e.g., 30% of a quantity means 30/100 times the quantity); solve problems involving finding the whole, given a part and the percent.</t>
  </si>
  <si>
    <t>R- used  7th
A- 3-5 questions on ACT Aspire
L- intrepreting or predicting science results, real world problems</t>
  </si>
  <si>
    <t>6.RP.A.3d</t>
  </si>
  <si>
    <t>Use ratio reasoning to convert measurement units; manipulate and transform units appropriately when multiplying or dividing quantities.</t>
  </si>
  <si>
    <t>R- used heavily in 7th
E- ties into EE skills when finding unknowns
A- 3-5 questions on ACT Aspire
L- needed in science and real world problems</t>
  </si>
  <si>
    <t>Statistics and Probability</t>
  </si>
  <si>
    <t>Use the +/- buttons above to control which ranges are visible.  The first button for a grade shows more about the standards.  The second button shows more about justifications.</t>
  </si>
  <si>
    <t>Develop understanding of statistical variability.</t>
  </si>
  <si>
    <t>6.SP.A.1</t>
  </si>
  <si>
    <t>Recognize a statistical question as one that anticipates variability in the data related to the question and accounts for it in the answers. For example, “How old am I?” is not a statistical question, but “How old are the students in my school?” is a statistical question because one anticipates variability in students’ ages.</t>
  </si>
  <si>
    <t>is a major cluster</t>
  </si>
  <si>
    <t>A-3-5 questions on ACT Aspire
L- helps when designing experiments</t>
  </si>
  <si>
    <t>6.SP.A.2</t>
  </si>
  <si>
    <t>Understand that a set of data collected to answer a statistical question has a distribution which can be described by its center, spread, and overall shape.</t>
  </si>
  <si>
    <t>A-3-5 questions on ACT Aspire</t>
  </si>
  <si>
    <t>6.SP.A.3</t>
  </si>
  <si>
    <t>Recognize that a measure of center for a numerical data set summarizes all of its values with a single number, while a measure of variation describes how its values vary with a single number.</t>
  </si>
  <si>
    <t>E-
A-3-5 questions on ACT Aspire</t>
  </si>
  <si>
    <t>Summarize and describe distributions.</t>
  </si>
  <si>
    <t>6.SP.B.4</t>
  </si>
  <si>
    <t>Kindergarten Essential Standards</t>
  </si>
  <si>
    <t>Display numerical data in plots on a number line, including dot plots, histograms, and box plots.</t>
  </si>
  <si>
    <t>R-
E-
A- 3-5 questions on ACT
L-</t>
  </si>
  <si>
    <t>6.SP.B.5</t>
  </si>
  <si>
    <t>Summarize numerical data sets in relation to their context, such as by:</t>
  </si>
  <si>
    <t>1st Grade Essential Standards</t>
  </si>
  <si>
    <t>6.SP.B.5a</t>
  </si>
  <si>
    <t>Reporting the number of observations</t>
  </si>
  <si>
    <t>2nd Grade Essential Standards</t>
  </si>
  <si>
    <t>3rd Grade Essential Standards</t>
  </si>
  <si>
    <t>6.SP.B.5b</t>
  </si>
  <si>
    <t>Describing the nature of the attribute under investigation, including how it was measured and its units of measurement.</t>
  </si>
  <si>
    <t>4th Grade Essential Standards</t>
  </si>
  <si>
    <t>6.SP.B.5c</t>
  </si>
  <si>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</si>
  <si>
    <t>5th Grade Essential Standards</t>
  </si>
  <si>
    <t>6.SP.B.5d</t>
  </si>
  <si>
    <t>Relating the choice of measures of center and variability to the shape of the data distribution and the context in which the data were gathered.</t>
  </si>
  <si>
    <t>R-
E-
A- 3-5 questions on ACT
L- understanding graphs and charts</t>
  </si>
  <si>
    <t>6th Grade Essential Standards</t>
  </si>
  <si>
    <t>Domain</t>
  </si>
  <si>
    <t>ESS.</t>
  </si>
  <si>
    <t>\</t>
  </si>
  <si>
    <t>is a supporting cluster</t>
  </si>
  <si>
    <t>is an additional cluster</t>
  </si>
  <si>
    <t>Counting and Cardinality</t>
  </si>
  <si>
    <t>m</t>
  </si>
  <si>
    <t>K.CC.A</t>
  </si>
  <si>
    <t>K.CC.B</t>
  </si>
  <si>
    <t>K.CC.C</t>
  </si>
  <si>
    <t>Standard Name</t>
  </si>
  <si>
    <t>K.NBT.A</t>
  </si>
  <si>
    <t>1.NBT.A</t>
  </si>
  <si>
    <t>Extending the counting sequence.</t>
  </si>
  <si>
    <t>1.NBT.B</t>
  </si>
  <si>
    <t>2.NBT.A</t>
  </si>
  <si>
    <t>4.NBT.A</t>
  </si>
  <si>
    <t>5.NBT.A</t>
  </si>
  <si>
    <t>Understand the place value system.</t>
  </si>
  <si>
    <t>6.NS.C</t>
  </si>
  <si>
    <t>1.NBT.C</t>
  </si>
  <si>
    <t>2.NBT.B</t>
  </si>
  <si>
    <t>a</t>
  </si>
  <si>
    <t>3.NBT.A</t>
  </si>
  <si>
    <t>4.NBT.B</t>
  </si>
  <si>
    <t>5.NBT.B</t>
  </si>
  <si>
    <t>6.NS.B</t>
  </si>
  <si>
    <t>K.OA.A</t>
  </si>
  <si>
    <t>Understand addition as putting together and adding to, and understand subtraction as taking apart and taking from.</t>
  </si>
  <si>
    <t>1.OA.B</t>
  </si>
  <si>
    <t>3.OA.B</t>
  </si>
  <si>
    <t>1.OA.A</t>
  </si>
  <si>
    <t>2.OA.A</t>
  </si>
  <si>
    <t>3.OA.A</t>
  </si>
  <si>
    <t>1.OA.C</t>
  </si>
  <si>
    <t>2.OA.B</t>
  </si>
  <si>
    <t>3.OA.C</t>
  </si>
  <si>
    <t>1.OA.D</t>
  </si>
  <si>
    <t>s</t>
  </si>
  <si>
    <t>2.OA.C</t>
  </si>
  <si>
    <t>4.OA.B</t>
  </si>
  <si>
    <t>3.OA.D</t>
  </si>
  <si>
    <t>4.OA.A</t>
  </si>
  <si>
    <t>4.OA.C</t>
  </si>
  <si>
    <t>5.OA.B</t>
  </si>
  <si>
    <t>Analyze patterns and relationships.</t>
  </si>
  <si>
    <t>5.OA.A</t>
  </si>
  <si>
    <t>Write and interpret numerical expressions.</t>
  </si>
  <si>
    <t>6.EE.A</t>
  </si>
  <si>
    <t>7.EE.A</t>
  </si>
  <si>
    <t>Use properties of operations to generate equivalent expressions.</t>
  </si>
  <si>
    <t>6.EE.B</t>
  </si>
  <si>
    <t>7.EE.B</t>
  </si>
  <si>
    <t>Solve real-life and mathematical problems using numerical and algebraic expressions
and equations.</t>
  </si>
  <si>
    <t>6.EE.C</t>
  </si>
  <si>
    <t>K.G.A</t>
  </si>
  <si>
    <t>K.G.B</t>
  </si>
  <si>
    <t>1.G.A</t>
  </si>
  <si>
    <t xml:space="preserve">2.G.A </t>
  </si>
  <si>
    <t>3.G.A</t>
  </si>
  <si>
    <t>4.G.A</t>
  </si>
  <si>
    <t>Draw and identify lines and angles, and classify shapes by properties of their lines and angles.</t>
  </si>
  <si>
    <t>5.G.B</t>
  </si>
  <si>
    <t>7.G.A</t>
  </si>
  <si>
    <t>Draw, construct and describe geometrical figures and describe the relationships between them.</t>
  </si>
  <si>
    <t>5.G.A</t>
  </si>
  <si>
    <t>6.G.A</t>
  </si>
  <si>
    <t>7.G.B</t>
  </si>
  <si>
    <t>Solve real-life and mathematical problems involving angle measure, area, surface area,
and volume.</t>
  </si>
  <si>
    <t>K.MD.A</t>
  </si>
  <si>
    <t>Describe and compare measureable attributes.</t>
  </si>
  <si>
    <t>K.MD.B</t>
  </si>
  <si>
    <t>Classify objects and count the number of objects in categories.</t>
  </si>
  <si>
    <t>1.MD.A</t>
  </si>
  <si>
    <t>2.MD.A</t>
  </si>
  <si>
    <t>1.MD.B</t>
  </si>
  <si>
    <t>2.MD.C</t>
  </si>
  <si>
    <t>1.MD.C</t>
  </si>
  <si>
    <t>2.MD.D</t>
  </si>
  <si>
    <t>3.MD.B</t>
  </si>
  <si>
    <t>4.MD.B</t>
  </si>
  <si>
    <t>5.MD.B</t>
  </si>
  <si>
    <t>6.SP.B</t>
  </si>
  <si>
    <t>2.MD.B</t>
  </si>
  <si>
    <t>3.MD.C</t>
  </si>
  <si>
    <t>3.MD.A</t>
  </si>
  <si>
    <t>Solve problems involving measurement and estimation of intervals of time, liquid volumes, and masses of objects.</t>
  </si>
  <si>
    <t>5.MD.C</t>
  </si>
  <si>
    <t>Geometric measurement: understand concepts of volume and relate volume to multiplication and to addition.</t>
  </si>
  <si>
    <t>3.MD.D</t>
  </si>
  <si>
    <t>Geometric measurement: recognize perimeter as an attribute of plane figures and distinguish between linear and area measures.</t>
  </si>
  <si>
    <t>4.MD.C</t>
  </si>
  <si>
    <t>4.MD.A</t>
  </si>
  <si>
    <t>Solve problems involving measurement and conversion of measurements from a larger unit to a smaller unit.</t>
  </si>
  <si>
    <t>5.MD.A</t>
  </si>
  <si>
    <t>3.NF.A</t>
  </si>
  <si>
    <t>4.NF.A</t>
  </si>
  <si>
    <t>4.NF.B</t>
  </si>
  <si>
    <t>Build fractions from unit fractions by applying and extending previous understandings of operations on whole numbers.</t>
  </si>
  <si>
    <t>5.NF.A</t>
  </si>
  <si>
    <t>4.NF.C</t>
  </si>
  <si>
    <t>5.NF.B</t>
  </si>
  <si>
    <t>Apply and extend previous understandings of multiplication and division to multiply and divide fractions.</t>
  </si>
  <si>
    <t>6.NS.A</t>
  </si>
  <si>
    <t>7.NS.A</t>
  </si>
  <si>
    <t>Apply and extend previous understandings of operations with fractions to add, subtract,
multiply, and divide rational numbers.</t>
  </si>
  <si>
    <t>Ratios and Proportions</t>
  </si>
  <si>
    <t>6.RP.A</t>
  </si>
  <si>
    <t>7.RP.A</t>
  </si>
  <si>
    <t>Analyze proportional relationships and use them to solve real-world and mathematical problems.</t>
  </si>
  <si>
    <t>6.SP.A</t>
  </si>
  <si>
    <t>7.SP.A</t>
  </si>
  <si>
    <t>Use random sampling to draw inferences about a population.</t>
  </si>
  <si>
    <t>7.SP.B</t>
  </si>
  <si>
    <t>Draw informal comparative inferences about two populations.</t>
  </si>
  <si>
    <t>7.SP.C</t>
  </si>
  <si>
    <t>Investigate chance processes and develop, use, and evaluate probability models.</t>
  </si>
</sst>
</file>

<file path=xl/styles.xml><?xml version="1.0" encoding="utf-8"?>
<styleSheet xmlns="http://schemas.openxmlformats.org/spreadsheetml/2006/main" xmlns:x14ac="http://schemas.microsoft.com/office/spreadsheetml/2009/9/ac" xmlns:mc="http://schemas.openxmlformats.org/markup-compatibility/2006">
  <fonts count="42">
    <font>
      <sz val="10.0"/>
      <color rgb="FF000000"/>
      <name val="Arial"/>
    </font>
    <font>
      <b/>
      <sz val="36.0"/>
      <name val="Droid Sans"/>
    </font>
    <font/>
    <font>
      <name val="Arial"/>
    </font>
    <font>
      <sz val="12.0"/>
      <name val="Droid Sans"/>
    </font>
    <font>
      <sz val="12.0"/>
      <color rgb="FF000000"/>
      <name val="Droid Sans"/>
    </font>
    <font>
      <b/>
      <color rgb="FF38761D"/>
      <name val="Arial"/>
    </font>
    <font>
      <b/>
      <sz val="12.0"/>
      <color rgb="FFCC0000"/>
      <name val="Arial"/>
    </font>
    <font>
      <b/>
      <sz val="12.0"/>
      <name val="Arial"/>
    </font>
    <font>
      <b/>
      <sz val="11.0"/>
      <name val="Arial"/>
    </font>
    <font>
      <b/>
      <sz val="10.0"/>
      <name val="Arial"/>
    </font>
    <font>
      <sz val="10.0"/>
      <name val="Droid Sans"/>
    </font>
    <font>
      <b/>
      <sz val="11.0"/>
      <color rgb="FFCC0000"/>
      <name val="Arial"/>
    </font>
    <font>
      <b/>
      <u/>
      <sz val="11.0"/>
      <color rgb="FF0000FF"/>
      <name val="Arial"/>
    </font>
    <font>
      <b/>
      <name val="Arial"/>
    </font>
    <font>
      <b/>
      <color rgb="FFFFFFFF"/>
      <name val="Arial"/>
    </font>
    <font>
      <sz val="11.0"/>
      <color rgb="FF000000"/>
      <name val="Arial"/>
    </font>
    <font>
      <b/>
      <u/>
      <sz val="11.0"/>
      <color rgb="FF0000FF"/>
      <name val="Arial"/>
    </font>
    <font>
      <sz val="11.0"/>
      <color rgb="FF000000"/>
      <name val="Inconsolata"/>
    </font>
    <font>
      <b/>
      <sz val="12.0"/>
      <color rgb="FF000000"/>
      <name val="Arial"/>
    </font>
    <font>
      <b/>
      <sz val="11.0"/>
      <color rgb="FFFFFFFF"/>
      <name val="Arial"/>
    </font>
    <font>
      <b/>
      <sz val="10.0"/>
      <color rgb="FFCC0000"/>
      <name val="Arial"/>
    </font>
    <font>
      <b/>
      <sz val="7.0"/>
      <color rgb="FF000000"/>
      <name val="Arial"/>
    </font>
    <font>
      <b/>
      <sz val="24.0"/>
      <color rgb="FF000000"/>
      <name val="Arial"/>
    </font>
    <font>
      <sz val="14.0"/>
      <name val="Arial"/>
    </font>
    <font>
      <sz val="3.0"/>
      <name val="Arial"/>
    </font>
    <font>
      <b/>
      <u/>
      <sz val="11.0"/>
      <color rgb="FF0000FF"/>
      <name val="Arial"/>
    </font>
    <font>
      <color rgb="FF000000"/>
      <name val="Arial"/>
    </font>
    <font>
      <sz val="12.0"/>
      <color rgb="FF990000"/>
      <name val="Arial"/>
    </font>
    <font>
      <name val="Comfortaa"/>
    </font>
    <font>
      <name val="Carter One"/>
    </font>
    <font>
      <sz val="12.0"/>
      <name val="Carter One"/>
    </font>
    <font>
      <u/>
      <sz val="12.0"/>
      <color rgb="FF1155CC"/>
      <name val="Carter One"/>
    </font>
    <font>
      <u/>
      <sz val="12.0"/>
      <color rgb="FF1155CC"/>
      <name val="Carter One"/>
    </font>
    <font>
      <color rgb="FF6AA84F"/>
      <name val="Comfortaa"/>
    </font>
    <font>
      <sz val="9.0"/>
      <name val="Comfortaa"/>
    </font>
    <font>
      <sz val="8.0"/>
      <name val="Carter One"/>
    </font>
    <font>
      <sz val="11.0"/>
      <name val="Carter One"/>
    </font>
    <font>
      <color rgb="FFFFD966"/>
      <name val="Comfortaa"/>
    </font>
    <font>
      <sz val="9.0"/>
      <name val="Arial"/>
    </font>
    <font>
      <color rgb="FF6D9EEB"/>
      <name val="Comfortaa"/>
    </font>
    <font>
      <color rgb="FF000000"/>
      <name val="Comfortaa"/>
    </font>
  </fonts>
  <fills count="28">
    <fill>
      <patternFill patternType="none"/>
    </fill>
    <fill>
      <patternFill patternType="lightGray"/>
    </fill>
    <fill>
      <patternFill patternType="solid">
        <fgColor rgb="FFFFFFFF"/>
        <bgColor rgb="FFFFFFFF"/>
      </patternFill>
    </fill>
    <fill>
      <patternFill patternType="solid">
        <fgColor rgb="FFD9D9D9"/>
        <bgColor rgb="FFD9D9D9"/>
      </patternFill>
    </fill>
    <fill>
      <patternFill patternType="solid">
        <fgColor rgb="FFEA9999"/>
        <bgColor rgb="FFEA9999"/>
      </patternFill>
    </fill>
    <fill>
      <patternFill patternType="solid">
        <fgColor rgb="FFCC0000"/>
        <bgColor rgb="FFCC0000"/>
      </patternFill>
    </fill>
    <fill>
      <patternFill patternType="solid">
        <fgColor rgb="FFE2E8FF"/>
        <bgColor rgb="FFE2E8FF"/>
      </patternFill>
    </fill>
    <fill>
      <patternFill patternType="solid">
        <fgColor rgb="FFE06666"/>
        <bgColor rgb="FFE06666"/>
      </patternFill>
    </fill>
    <fill>
      <patternFill patternType="solid">
        <fgColor rgb="FFF9CB9C"/>
        <bgColor rgb="FFF9CB9C"/>
      </patternFill>
    </fill>
    <fill>
      <patternFill patternType="solid">
        <fgColor rgb="FFF6B26B"/>
        <bgColor rgb="FFF6B26B"/>
      </patternFill>
    </fill>
    <fill>
      <patternFill patternType="solid">
        <fgColor rgb="FFE69138"/>
        <bgColor rgb="FFE69138"/>
      </patternFill>
    </fill>
    <fill>
      <patternFill patternType="solid">
        <fgColor rgb="FFFFE599"/>
        <bgColor rgb="FFFFE599"/>
      </patternFill>
    </fill>
    <fill>
      <patternFill patternType="solid">
        <fgColor rgb="FFB6D7A8"/>
        <bgColor rgb="FFB6D7A8"/>
      </patternFill>
    </fill>
    <fill>
      <patternFill patternType="solid">
        <fgColor rgb="FFFFD966"/>
        <bgColor rgb="FFFFD966"/>
      </patternFill>
    </fill>
    <fill>
      <patternFill patternType="solid">
        <fgColor rgb="FF93C47D"/>
        <bgColor rgb="FF93C47D"/>
      </patternFill>
    </fill>
    <fill>
      <patternFill patternType="solid">
        <fgColor rgb="FF6AA84F"/>
        <bgColor rgb="FF6AA84F"/>
      </patternFill>
    </fill>
    <fill>
      <patternFill patternType="solid">
        <fgColor rgb="FF000000"/>
        <bgColor rgb="FF000000"/>
      </patternFill>
    </fill>
    <fill>
      <patternFill patternType="solid">
        <fgColor rgb="FFB4A7D6"/>
        <bgColor rgb="FFB4A7D6"/>
      </patternFill>
    </fill>
    <fill>
      <patternFill patternType="solid">
        <fgColor rgb="FFD9D2E9"/>
        <bgColor rgb="FFD9D2E9"/>
      </patternFill>
    </fill>
    <fill>
      <patternFill patternType="solid">
        <fgColor rgb="FFD9EAD3"/>
        <bgColor rgb="FFD9EAD3"/>
      </patternFill>
    </fill>
    <fill>
      <patternFill patternType="solid">
        <fgColor rgb="FF8E7CC3"/>
        <bgColor rgb="FF8E7CC3"/>
      </patternFill>
    </fill>
    <fill>
      <patternFill patternType="solid">
        <fgColor rgb="FFB45F06"/>
        <bgColor rgb="FFB45F06"/>
      </patternFill>
    </fill>
    <fill>
      <patternFill patternType="solid">
        <fgColor rgb="FF9FC5E8"/>
        <bgColor rgb="FF9FC5E8"/>
      </patternFill>
    </fill>
    <fill>
      <patternFill patternType="solid">
        <fgColor rgb="FF6FA8DC"/>
        <bgColor rgb="FF6FA8DC"/>
      </patternFill>
    </fill>
    <fill>
      <patternFill patternType="solid">
        <fgColor rgb="FF3D85C6"/>
        <bgColor rgb="FF3D85C6"/>
      </patternFill>
    </fill>
    <fill>
      <patternFill patternType="solid">
        <fgColor rgb="FF6D9EEB"/>
        <bgColor rgb="FF6D9EEB"/>
      </patternFill>
    </fill>
    <fill>
      <patternFill patternType="solid">
        <fgColor rgb="FFDD7E6B"/>
        <bgColor rgb="FFDD7E6B"/>
      </patternFill>
    </fill>
    <fill>
      <patternFill patternType="solid">
        <fgColor rgb="FF674EA7"/>
        <bgColor rgb="FF674EA7"/>
      </patternFill>
    </fill>
  </fills>
  <borders count="36">
    <border/>
    <border>
      <left style="thin">
        <color rgb="FFFFFFFF"/>
      </left>
      <top style="thin">
        <color rgb="FFFFFFFF"/>
      </top>
      <bottom style="thin">
        <color rgb="FFFFFFFF"/>
      </bottom>
    </border>
    <border>
      <top style="thin">
        <color rgb="FFFFFFFF"/>
      </top>
      <bottom style="thin">
        <color rgb="FFFFFFFF"/>
      </bottom>
    </border>
    <border>
      <right style="thin">
        <color rgb="FFFFFFFF"/>
      </right>
      <top style="thin">
        <color rgb="FFFFFFFF"/>
      </top>
      <bottom style="thin">
        <color rgb="FFFFFFFF"/>
      </bottom>
    </border>
    <border>
      <left style="thin">
        <color rgb="FFFFFFFF"/>
      </left>
      <right style="thin">
        <color rgb="FFFFFFFF"/>
      </right>
      <top style="thin">
        <color rgb="FFFFFFFF"/>
      </top>
      <bottom style="thin">
        <color rgb="FFFFFFFF"/>
      </bottom>
    </border>
    <border>
      <right style="thin">
        <color rgb="FF000000"/>
      </right>
    </border>
    <border>
      <bottom style="medium">
        <color rgb="FF000000"/>
      </bottom>
    </border>
    <border>
      <right style="medium">
        <color rgb="FF000000"/>
      </right>
      <bottom style="medium">
        <color rgb="FF000000"/>
      </bottom>
    </border>
    <border>
      <right style="medium">
        <color rgb="FF000000"/>
      </right>
    </border>
    <border>
      <left style="medium">
        <color rgb="FF000000"/>
      </left>
      <right style="medium">
        <color rgb="FF000000"/>
      </right>
      <top style="medium">
        <color rgb="FF000000"/>
      </top>
      <bottom style="medium">
        <color rgb="FF000000"/>
      </bottom>
    </border>
    <border>
      <left style="medium">
        <color rgb="FF000000"/>
      </left>
      <right style="medium">
        <color rgb="FF000000"/>
      </right>
      <bottom style="medium">
        <color rgb="FF000000"/>
      </bottom>
    </border>
    <border>
      <left style="medium">
        <color rgb="FF000000"/>
      </left>
      <right style="medium">
        <color rgb="FF000000"/>
      </right>
      <top style="medium">
        <color rgb="FF000000"/>
      </top>
    </border>
    <border>
      <left style="medium">
        <color rgb="FF000000"/>
      </left>
      <right style="medium">
        <color rgb="FF000000"/>
      </right>
    </border>
    <border>
      <left style="medium">
        <color rgb="FF000000"/>
      </left>
      <top style="medium">
        <color rgb="FF000000"/>
      </top>
    </border>
    <border>
      <left style="medium">
        <color rgb="FF000000"/>
      </left>
    </border>
    <border>
      <left style="medium">
        <color rgb="FF000000"/>
      </left>
      <bottom style="medium">
        <color rgb="FF000000"/>
      </bottom>
    </border>
    <border>
      <bottom style="thick">
        <color rgb="FF000000"/>
      </bottom>
    </border>
    <border>
      <left style="medium">
        <color rgb="FF000000"/>
      </left>
      <right style="medium">
        <color rgb="FF000000"/>
      </right>
      <bottom style="thick">
        <color rgb="FF000000"/>
      </bottom>
    </border>
    <border>
      <right style="medium">
        <color rgb="FF000000"/>
      </right>
      <bottom style="thick">
        <color rgb="FF000000"/>
      </bottom>
    </border>
    <border>
      <right style="thick">
        <color rgb="FF000000"/>
      </right>
      <bottom style="medium">
        <color rgb="FF000000"/>
      </bottom>
    </border>
    <border>
      <right style="thin">
        <color rgb="FFD9D9D9"/>
      </right>
      <bottom style="medium">
        <color rgb="FF000000"/>
      </bottom>
    </border>
    <border>
      <left style="thick">
        <color rgb="FF000000"/>
      </left>
      <bottom style="medium">
        <color rgb="FF000000"/>
      </bottom>
    </border>
    <border>
      <top style="thin">
        <color rgb="FFD9D9D9"/>
      </top>
      <bottom style="medium">
        <color rgb="FF000000"/>
      </bottom>
    </border>
    <border>
      <right style="thin">
        <color rgb="FFD9D9D9"/>
      </right>
      <top style="thin">
        <color rgb="FFD9D9D9"/>
      </top>
      <bottom style="medium">
        <color rgb="FF000000"/>
      </bottom>
    </border>
    <border>
      <bottom style="thin">
        <color rgb="FFD9D9D9"/>
      </bottom>
    </border>
    <border>
      <right style="thick">
        <color rgb="FF000000"/>
      </right>
      <bottom style="thin">
        <color rgb="FFD9D9D9"/>
      </bottom>
    </border>
    <border>
      <left style="medium">
        <color rgb="FF000000"/>
      </left>
      <right style="thick">
        <color rgb="FF000000"/>
      </right>
    </border>
    <border>
      <left style="thick">
        <color rgb="FF000000"/>
      </left>
      <right style="thin">
        <color rgb="FFD9D9D9"/>
      </right>
      <bottom style="thin">
        <color rgb="FFD9D9D9"/>
      </bottom>
    </border>
    <border>
      <right style="thin">
        <color rgb="FFD9D9D9"/>
      </right>
      <bottom style="thin">
        <color rgb="FFD9D9D9"/>
      </bottom>
    </border>
    <border>
      <left style="medium">
        <color rgb="FF000000"/>
      </left>
      <right style="thick">
        <color rgb="FF000000"/>
      </right>
      <bottom style="medium">
        <color rgb="FF000000"/>
      </bottom>
    </border>
    <border>
      <left style="thick">
        <color rgb="FF000000"/>
      </left>
      <bottom style="thin">
        <color rgb="FFD9D9D9"/>
      </bottom>
    </border>
    <border>
      <left style="thick">
        <color rgb="FF000000"/>
      </left>
    </border>
    <border>
      <right style="thick">
        <color rgb="FF000000"/>
      </right>
    </border>
    <border>
      <left style="thick">
        <color rgb="FF000000"/>
      </left>
      <right style="thin">
        <color rgb="FFD9D9D9"/>
      </right>
    </border>
    <border>
      <right style="thin">
        <color rgb="FFD9D9D9"/>
      </right>
    </border>
    <border>
      <left style="thick">
        <color rgb="FF000000"/>
      </left>
      <right style="medium">
        <color rgb="FF000000"/>
      </right>
      <bottom style="medium">
        <color rgb="FF000000"/>
      </bottom>
    </border>
  </borders>
  <cellStyleXfs count="1">
    <xf borderId="0" fillId="0" fontId="0" numFmtId="0" applyAlignment="1" applyFont="1"/>
  </cellStyleXfs>
  <cellXfs count="264">
    <xf borderId="0" fillId="0" fontId="0" numFmtId="0" xfId="0" applyAlignment="1" applyFont="1">
      <alignment readingOrder="0" shrinkToFit="0" vertical="bottom" wrapText="0"/>
    </xf>
    <xf borderId="1" fillId="0" fontId="1" numFmtId="0" xfId="0" applyAlignment="1" applyBorder="1" applyFont="1">
      <alignment readingOrder="0" shrinkToFit="0" wrapText="1"/>
    </xf>
    <xf borderId="2" fillId="0" fontId="2" numFmtId="0" xfId="0" applyBorder="1" applyFont="1"/>
    <xf borderId="0" fillId="0" fontId="3" numFmtId="0" xfId="0" applyAlignment="1" applyFont="1">
      <alignment vertical="bottom"/>
    </xf>
    <xf borderId="3" fillId="0" fontId="2" numFmtId="0" xfId="0" applyBorder="1" applyFont="1"/>
    <xf borderId="4" fillId="0" fontId="4" numFmtId="0" xfId="0" applyBorder="1" applyFont="1"/>
    <xf borderId="1" fillId="2" fontId="5" numFmtId="0" xfId="0" applyAlignment="1" applyBorder="1" applyFill="1" applyFont="1">
      <alignment horizontal="left" readingOrder="0" shrinkToFit="0" wrapText="1"/>
    </xf>
    <xf borderId="0" fillId="0" fontId="3" numFmtId="0" xfId="0" applyFont="1"/>
    <xf borderId="4" fillId="0" fontId="4" numFmtId="0" xfId="0" applyAlignment="1" applyBorder="1" applyFont="1">
      <alignment readingOrder="0"/>
    </xf>
    <xf borderId="0" fillId="0" fontId="3" numFmtId="0" xfId="0" applyAlignment="1" applyFont="1">
      <alignment vertical="bottom"/>
    </xf>
    <xf borderId="4" fillId="0" fontId="2" numFmtId="0" xfId="0" applyBorder="1" applyFont="1"/>
    <xf borderId="5" fillId="0" fontId="3" numFmtId="0" xfId="0" applyAlignment="1" applyBorder="1" applyFont="1">
      <alignment vertical="bottom"/>
    </xf>
    <xf borderId="6" fillId="0" fontId="6" numFmtId="0" xfId="0" applyAlignment="1" applyBorder="1" applyFont="1">
      <alignment shrinkToFit="0" vertical="bottom" wrapText="1"/>
    </xf>
    <xf borderId="6" fillId="0" fontId="2" numFmtId="0" xfId="0" applyBorder="1" applyFont="1"/>
    <xf borderId="6" fillId="0" fontId="7" numFmtId="0" xfId="0" applyAlignment="1" applyBorder="1" applyFont="1">
      <alignment readingOrder="0" shrinkToFit="0" wrapText="1"/>
    </xf>
    <xf borderId="6" fillId="0" fontId="8" numFmtId="0" xfId="0" applyAlignment="1" applyBorder="1" applyFont="1">
      <alignment horizontal="center" readingOrder="0" vertical="bottom"/>
    </xf>
    <xf borderId="7" fillId="0" fontId="2" numFmtId="0" xfId="0" applyBorder="1" applyFont="1"/>
    <xf borderId="0" fillId="3" fontId="8" numFmtId="0" xfId="0" applyAlignment="1" applyFill="1" applyFont="1">
      <alignment horizontal="center" vertical="bottom"/>
    </xf>
    <xf borderId="1" fillId="0" fontId="4" numFmtId="0" xfId="0" applyAlignment="1" applyBorder="1" applyFont="1">
      <alignment readingOrder="0" shrinkToFit="0" wrapText="1"/>
    </xf>
    <xf borderId="8" fillId="0" fontId="2" numFmtId="0" xfId="0" applyBorder="1" applyFont="1"/>
    <xf borderId="7" fillId="3" fontId="9" numFmtId="0" xfId="0" applyAlignment="1" applyBorder="1" applyFont="1">
      <alignment horizontal="center" vertical="bottom"/>
    </xf>
    <xf borderId="7" fillId="3" fontId="10" numFmtId="0" xfId="0" applyAlignment="1" applyBorder="1" applyFont="1">
      <alignment horizontal="center" vertical="bottom"/>
    </xf>
    <xf borderId="4" fillId="0" fontId="11" numFmtId="0" xfId="0" applyBorder="1" applyFont="1"/>
    <xf borderId="7" fillId="3" fontId="8" numFmtId="0" xfId="0" applyAlignment="1" applyBorder="1" applyFont="1">
      <alignment horizontal="center" shrinkToFit="0" vertical="bottom" wrapText="1"/>
    </xf>
    <xf borderId="6" fillId="0" fontId="12" numFmtId="0" xfId="0" applyAlignment="1" applyBorder="1" applyFont="1">
      <alignment readingOrder="0" shrinkToFit="0" wrapText="1"/>
    </xf>
    <xf borderId="6" fillId="0" fontId="8" numFmtId="0" xfId="0" applyAlignment="1" applyBorder="1" applyFont="1">
      <alignment horizontal="center" readingOrder="0" vertical="center"/>
    </xf>
    <xf borderId="0" fillId="0" fontId="3" numFmtId="0" xfId="0" applyAlignment="1" applyFont="1">
      <alignment horizontal="center" vertical="center"/>
    </xf>
    <xf borderId="5" fillId="0" fontId="3" numFmtId="0" xfId="0" applyAlignment="1" applyBorder="1" applyFont="1">
      <alignment horizontal="center" vertical="center"/>
    </xf>
    <xf borderId="6" fillId="3" fontId="8" numFmtId="0" xfId="0" applyAlignment="1" applyBorder="1" applyFont="1">
      <alignment horizontal="center" vertical="center"/>
    </xf>
    <xf borderId="7" fillId="3" fontId="9" numFmtId="0" xfId="0" applyAlignment="1" applyBorder="1" applyFont="1">
      <alignment horizontal="center" vertical="center"/>
    </xf>
    <xf borderId="7" fillId="3" fontId="10" numFmtId="0" xfId="0" applyAlignment="1" applyBorder="1" applyFont="1">
      <alignment horizontal="center" vertical="center"/>
    </xf>
    <xf borderId="7" fillId="3" fontId="8" numFmtId="0" xfId="0" applyAlignment="1" applyBorder="1" applyFont="1">
      <alignment horizontal="center" shrinkToFit="0" vertical="center" wrapText="1"/>
    </xf>
    <xf borderId="7" fillId="3" fontId="13" numFmtId="0" xfId="0" applyAlignment="1" applyBorder="1" applyFont="1">
      <alignment horizontal="center" vertical="center"/>
    </xf>
    <xf borderId="8" fillId="4" fontId="14" numFmtId="0" xfId="0" applyAlignment="1" applyBorder="1" applyFill="1" applyFont="1">
      <alignment horizontal="center" shrinkToFit="0" textRotation="90" vertical="center" wrapText="1"/>
    </xf>
    <xf borderId="9" fillId="4" fontId="3" numFmtId="0" xfId="0" applyAlignment="1" applyBorder="1" applyFont="1">
      <alignment horizontal="center" shrinkToFit="0" vertical="center" wrapText="1"/>
    </xf>
    <xf borderId="10" fillId="5" fontId="15" numFmtId="0" xfId="0" applyAlignment="1" applyBorder="1" applyFill="1" applyFont="1">
      <alignment horizontal="center" shrinkToFit="0" vertical="center" wrapText="1"/>
    </xf>
    <xf borderId="6" fillId="0" fontId="3" numFmtId="0" xfId="0" applyAlignment="1" applyBorder="1" applyFont="1">
      <alignment horizontal="center" vertical="center"/>
    </xf>
    <xf borderId="6" fillId="0" fontId="3" numFmtId="0" xfId="0" applyAlignment="1" applyBorder="1" applyFont="1">
      <alignment horizontal="left" shrinkToFit="0" vertical="center" wrapText="1"/>
    </xf>
    <xf borderId="10" fillId="6" fontId="3" numFmtId="0" xfId="0" applyAlignment="1" applyBorder="1" applyFill="1" applyFont="1">
      <alignment horizontal="center" readingOrder="0" vertical="center"/>
    </xf>
    <xf borderId="7" fillId="6" fontId="3" numFmtId="0" xfId="0" applyAlignment="1" applyBorder="1" applyFont="1">
      <alignment horizontal="center" vertical="center"/>
    </xf>
    <xf borderId="7" fillId="6" fontId="3" numFmtId="0" xfId="0" applyAlignment="1" applyBorder="1" applyFont="1">
      <alignment horizontal="left" readingOrder="0" vertical="center"/>
    </xf>
    <xf borderId="11" fillId="7" fontId="3" numFmtId="0" xfId="0" applyAlignment="1" applyBorder="1" applyFill="1" applyFont="1">
      <alignment horizontal="center" shrinkToFit="0" vertical="center" wrapText="1"/>
    </xf>
    <xf borderId="12" fillId="5" fontId="15" numFmtId="0" xfId="0" applyAlignment="1" applyBorder="1" applyFont="1">
      <alignment horizontal="center" shrinkToFit="0" vertical="center" wrapText="1"/>
    </xf>
    <xf borderId="0" fillId="0" fontId="3" numFmtId="0" xfId="0" applyAlignment="1" applyFont="1">
      <alignment horizontal="left" shrinkToFit="0" vertical="center" wrapText="1"/>
    </xf>
    <xf borderId="12" fillId="6" fontId="3" numFmtId="0" xfId="0" applyAlignment="1" applyBorder="1" applyFont="1">
      <alignment horizontal="center" readingOrder="0" vertical="center"/>
    </xf>
    <xf borderId="8" fillId="6" fontId="3" numFmtId="0" xfId="0" applyAlignment="1" applyBorder="1" applyFont="1">
      <alignment horizontal="center" vertical="center"/>
    </xf>
    <xf borderId="0" fillId="6" fontId="16" numFmtId="0" xfId="0" applyAlignment="1" applyFont="1">
      <alignment readingOrder="0"/>
    </xf>
    <xf borderId="12" fillId="0" fontId="2" numFmtId="0" xfId="0" applyBorder="1" applyFont="1"/>
    <xf borderId="12" fillId="6" fontId="3" numFmtId="0" xfId="0" applyAlignment="1" applyBorder="1" applyFont="1">
      <alignment horizontal="center" vertical="center"/>
    </xf>
    <xf borderId="8" fillId="6" fontId="3" numFmtId="0" xfId="0" applyAlignment="1" applyBorder="1" applyFont="1">
      <alignment horizontal="center" readingOrder="0" vertical="center"/>
    </xf>
    <xf borderId="10" fillId="0" fontId="2" numFmtId="0" xfId="0" applyBorder="1" applyFont="1"/>
    <xf borderId="11" fillId="5" fontId="3" numFmtId="0" xfId="0" applyAlignment="1" applyBorder="1" applyFont="1">
      <alignment horizontal="center" shrinkToFit="0" vertical="center" wrapText="1"/>
    </xf>
    <xf borderId="8" fillId="6" fontId="3" numFmtId="0" xfId="0" applyAlignment="1" applyBorder="1" applyFont="1">
      <alignment horizontal="left" readingOrder="0" vertical="center"/>
    </xf>
    <xf borderId="10" fillId="6" fontId="3" numFmtId="0" xfId="0" applyAlignment="1" applyBorder="1" applyFont="1">
      <alignment horizontal="center" vertical="center"/>
    </xf>
    <xf borderId="7" fillId="6" fontId="3" numFmtId="0" xfId="0" applyAlignment="1" applyBorder="1" applyFont="1">
      <alignment horizontal="center" readingOrder="0" vertical="center"/>
    </xf>
    <xf borderId="8" fillId="8" fontId="14" numFmtId="0" xfId="0" applyAlignment="1" applyBorder="1" applyFill="1" applyFont="1">
      <alignment horizontal="center" shrinkToFit="0" textRotation="90" vertical="center" wrapText="1"/>
    </xf>
    <xf borderId="11" fillId="8" fontId="3" numFmtId="0" xfId="0" applyAlignment="1" applyBorder="1" applyFont="1">
      <alignment horizontal="center" shrinkToFit="0" vertical="center" wrapText="1"/>
    </xf>
    <xf borderId="7" fillId="3" fontId="17" numFmtId="0" xfId="0" applyAlignment="1" applyBorder="1" applyFont="1">
      <alignment horizontal="center" vertical="bottom"/>
    </xf>
    <xf borderId="9" fillId="4" fontId="14" numFmtId="0" xfId="0" applyAlignment="1" applyBorder="1" applyFont="1">
      <alignment horizontal="center" shrinkToFit="0" textRotation="90" vertical="center" wrapText="1"/>
    </xf>
    <xf borderId="11" fillId="9" fontId="3" numFmtId="0" xfId="0" applyAlignment="1" applyBorder="1" applyFill="1" applyFont="1">
      <alignment horizontal="center" shrinkToFit="0" vertical="center" wrapText="1"/>
    </xf>
    <xf borderId="7" fillId="5" fontId="15" numFmtId="0" xfId="0" applyAlignment="1" applyBorder="1" applyFont="1">
      <alignment horizontal="center" shrinkToFit="0" vertical="center" wrapText="1"/>
    </xf>
    <xf borderId="6" fillId="0" fontId="2" numFmtId="0" xfId="0" applyAlignment="1" applyBorder="1" applyFont="1">
      <alignment readingOrder="0" vertical="center"/>
    </xf>
    <xf borderId="6" fillId="0" fontId="2" numFmtId="0" xfId="0" applyAlignment="1" applyBorder="1" applyFont="1">
      <alignment horizontal="left" readingOrder="0" shrinkToFit="0" vertical="center" wrapText="1"/>
    </xf>
    <xf borderId="0" fillId="6" fontId="18" numFmtId="0" xfId="0" applyAlignment="1" applyFont="1">
      <alignment readingOrder="0"/>
    </xf>
    <xf borderId="10" fillId="6" fontId="3" numFmtId="0" xfId="0" applyAlignment="1" applyBorder="1" applyFont="1">
      <alignment readingOrder="0" vertical="center"/>
    </xf>
    <xf borderId="7" fillId="6" fontId="3" numFmtId="0" xfId="0" applyAlignment="1" applyBorder="1" applyFont="1">
      <alignment readingOrder="0" vertical="center"/>
    </xf>
    <xf borderId="11" fillId="8" fontId="14" numFmtId="0" xfId="0" applyAlignment="1" applyBorder="1" applyFont="1">
      <alignment horizontal="center" shrinkToFit="0" textRotation="90" vertical="center" wrapText="1"/>
    </xf>
    <xf borderId="13" fillId="8" fontId="3" numFmtId="0" xfId="0" applyAlignment="1" applyBorder="1" applyFont="1">
      <alignment horizontal="center" shrinkToFit="0" vertical="center" wrapText="1"/>
    </xf>
    <xf borderId="0" fillId="0" fontId="2" numFmtId="0" xfId="0" applyAlignment="1" applyFont="1">
      <alignment readingOrder="0" vertical="center"/>
    </xf>
    <xf borderId="0" fillId="0" fontId="2" numFmtId="0" xfId="0" applyAlignment="1" applyFont="1">
      <alignment horizontal="left" readingOrder="0" shrinkToFit="0" vertical="center" wrapText="1"/>
    </xf>
    <xf borderId="12" fillId="6" fontId="3" numFmtId="0" xfId="0" applyAlignment="1" applyBorder="1" applyFont="1">
      <alignment readingOrder="0" vertical="center"/>
    </xf>
    <xf borderId="8" fillId="6" fontId="3" numFmtId="0" xfId="0" applyAlignment="1" applyBorder="1" applyFont="1">
      <alignment readingOrder="0" vertical="center"/>
    </xf>
    <xf borderId="7" fillId="6" fontId="3" numFmtId="0" xfId="0" applyAlignment="1" applyBorder="1" applyFont="1">
      <alignment readingOrder="0" shrinkToFit="0" vertical="center" wrapText="1"/>
    </xf>
    <xf borderId="11" fillId="10" fontId="3" numFmtId="0" xfId="0" applyAlignment="1" applyBorder="1" applyFill="1" applyFont="1">
      <alignment horizontal="center" shrinkToFit="0" vertical="center" wrapText="1"/>
    </xf>
    <xf borderId="0" fillId="0" fontId="3" numFmtId="0" xfId="0" applyAlignment="1" applyFont="1">
      <alignment vertical="center"/>
    </xf>
    <xf borderId="14" fillId="0" fontId="2" numFmtId="0" xfId="0" applyBorder="1" applyFont="1"/>
    <xf borderId="5" fillId="0" fontId="3" numFmtId="0" xfId="0" applyAlignment="1" applyBorder="1" applyFont="1">
      <alignment vertical="center"/>
    </xf>
    <xf borderId="7" fillId="3" fontId="8" numFmtId="0" xfId="0" applyAlignment="1" applyBorder="1" applyFont="1">
      <alignment horizontal="center" vertical="center"/>
    </xf>
    <xf borderId="8" fillId="6" fontId="3" numFmtId="0" xfId="0" applyAlignment="1" applyBorder="1" applyFont="1">
      <alignment vertical="center"/>
    </xf>
    <xf borderId="11" fillId="4" fontId="14" numFmtId="0" xfId="0" applyAlignment="1" applyBorder="1" applyFont="1">
      <alignment horizontal="center" shrinkToFit="0" textRotation="90" vertical="center" wrapText="1"/>
    </xf>
    <xf borderId="15" fillId="0" fontId="2" numFmtId="0" xfId="0" applyBorder="1" applyFont="1"/>
    <xf borderId="8" fillId="11" fontId="14" numFmtId="0" xfId="0" applyAlignment="1" applyBorder="1" applyFill="1" applyFont="1">
      <alignment horizontal="center" shrinkToFit="0" textRotation="90" vertical="center" wrapText="1"/>
    </xf>
    <xf borderId="7" fillId="6" fontId="3" numFmtId="0" xfId="0" applyAlignment="1" applyBorder="1" applyFont="1">
      <alignment vertical="center"/>
    </xf>
    <xf borderId="6" fillId="0" fontId="3" numFmtId="0" xfId="0" applyAlignment="1" applyBorder="1" applyFont="1">
      <alignment shrinkToFit="0" vertical="center" wrapText="1"/>
    </xf>
    <xf borderId="11" fillId="11" fontId="3" numFmtId="0" xfId="0" applyAlignment="1" applyBorder="1" applyFont="1">
      <alignment horizontal="center" shrinkToFit="0" vertical="center" wrapText="1"/>
    </xf>
    <xf borderId="11" fillId="11" fontId="14" numFmtId="0" xfId="0" applyAlignment="1" applyBorder="1" applyFont="1">
      <alignment horizontal="center" shrinkToFit="0" textRotation="90" vertical="center" wrapText="1"/>
    </xf>
    <xf borderId="0" fillId="0" fontId="3" numFmtId="0" xfId="0" applyAlignment="1" applyFont="1">
      <alignment horizontal="center" readingOrder="0" vertical="center"/>
    </xf>
    <xf borderId="0" fillId="0" fontId="3" numFmtId="0" xfId="0" applyAlignment="1" applyFont="1">
      <alignment shrinkToFit="0" vertical="center" wrapText="1"/>
    </xf>
    <xf borderId="6" fillId="0" fontId="3" numFmtId="0" xfId="0" applyAlignment="1" applyBorder="1" applyFont="1">
      <alignment horizontal="center" readingOrder="0" vertical="center"/>
    </xf>
    <xf borderId="6" fillId="0" fontId="3" numFmtId="0" xfId="0" applyAlignment="1" applyBorder="1" applyFont="1">
      <alignment vertical="center"/>
    </xf>
    <xf borderId="8" fillId="12" fontId="14" numFmtId="0" xfId="0" applyAlignment="1" applyBorder="1" applyFill="1" applyFont="1">
      <alignment horizontal="center" shrinkToFit="0" textRotation="90" vertical="center" wrapText="1"/>
    </xf>
    <xf borderId="11" fillId="12" fontId="3" numFmtId="0" xfId="0" applyAlignment="1" applyBorder="1" applyFont="1">
      <alignment horizontal="center" shrinkToFit="0" vertical="center" wrapText="1"/>
    </xf>
    <xf borderId="11" fillId="13" fontId="3" numFmtId="0" xfId="0" applyAlignment="1" applyBorder="1" applyFill="1" applyFont="1">
      <alignment horizontal="center" shrinkToFit="0" vertical="center" wrapText="1"/>
    </xf>
    <xf borderId="9" fillId="14" fontId="3" numFmtId="0" xfId="0" applyAlignment="1" applyBorder="1" applyFill="1" applyFont="1">
      <alignment horizontal="center" shrinkToFit="0" vertical="center" wrapText="1"/>
    </xf>
    <xf borderId="11" fillId="12" fontId="14" numFmtId="0" xfId="0" applyAlignment="1" applyBorder="1" applyFont="1">
      <alignment horizontal="center" shrinkToFit="0" textRotation="90" vertical="center" wrapText="1"/>
    </xf>
    <xf borderId="9" fillId="15" fontId="3" numFmtId="0" xfId="0" applyAlignment="1" applyBorder="1" applyFill="1" applyFont="1">
      <alignment horizontal="center" shrinkToFit="0" vertical="center" wrapText="1"/>
    </xf>
    <xf borderId="9" fillId="8" fontId="3" numFmtId="0" xfId="0" applyAlignment="1" applyBorder="1" applyFont="1">
      <alignment horizontal="center" shrinkToFit="0" vertical="center" wrapText="1"/>
    </xf>
    <xf borderId="0" fillId="16" fontId="3" numFmtId="0" xfId="0" applyAlignment="1" applyFill="1" applyFont="1">
      <alignment horizontal="center" shrinkToFit="0" vertical="center" wrapText="1"/>
    </xf>
    <xf borderId="9" fillId="9" fontId="3" numFmtId="0" xfId="0" applyAlignment="1" applyBorder="1" applyFont="1">
      <alignment horizontal="center" shrinkToFit="0" vertical="center" wrapText="1"/>
    </xf>
    <xf borderId="11" fillId="17" fontId="14" numFmtId="0" xfId="0" applyAlignment="1" applyBorder="1" applyFill="1" applyFont="1">
      <alignment horizontal="center" shrinkToFit="0" textRotation="90" vertical="center" wrapText="1"/>
    </xf>
    <xf borderId="0" fillId="0" fontId="6" numFmtId="0" xfId="0" applyAlignment="1" applyFont="1">
      <alignment horizontal="left" shrinkToFit="0" vertical="center" wrapText="1"/>
    </xf>
    <xf borderId="11" fillId="18" fontId="3" numFmtId="0" xfId="0" applyAlignment="1" applyBorder="1" applyFill="1" applyFont="1">
      <alignment horizontal="center" shrinkToFit="0" vertical="center" wrapText="1"/>
    </xf>
    <xf borderId="0" fillId="3" fontId="19" numFmtId="0" xfId="0" applyAlignment="1" applyFont="1">
      <alignment horizontal="center" shrinkToFit="0" textRotation="90" vertical="center" wrapText="1"/>
    </xf>
    <xf borderId="0" fillId="5" fontId="20" numFmtId="0" xfId="0" applyAlignment="1" applyFont="1">
      <alignment horizontal="center" shrinkToFit="0" vertical="center" wrapText="1"/>
    </xf>
    <xf borderId="0" fillId="0" fontId="21" numFmtId="0" xfId="0" applyAlignment="1" applyFont="1">
      <alignment horizontal="left" readingOrder="0" shrinkToFit="0" vertical="center" wrapText="1"/>
    </xf>
    <xf borderId="0" fillId="0" fontId="19" numFmtId="0" xfId="0" applyAlignment="1" applyFont="1">
      <alignment horizontal="center" shrinkToFit="0" vertical="center" wrapText="1"/>
    </xf>
    <xf borderId="11" fillId="17" fontId="3" numFmtId="0" xfId="0" applyAlignment="1" applyBorder="1" applyFont="1">
      <alignment horizontal="center" shrinkToFit="0" vertical="center" wrapText="1"/>
    </xf>
    <xf borderId="0" fillId="3" fontId="22" numFmtId="0" xfId="0" applyAlignment="1" applyFont="1">
      <alignment horizontal="center" shrinkToFit="0" textRotation="90" vertical="center" wrapText="1"/>
    </xf>
    <xf borderId="0" fillId="0" fontId="23" numFmtId="1" xfId="0" applyAlignment="1" applyFont="1" applyNumberFormat="1">
      <alignment horizontal="center" shrinkToFit="0" textRotation="0" vertical="center" wrapText="1"/>
    </xf>
    <xf borderId="6" fillId="0" fontId="14" numFmtId="0" xfId="0" applyAlignment="1" applyBorder="1" applyFont="1">
      <alignment vertical="bottom"/>
    </xf>
    <xf borderId="11" fillId="19" fontId="3" numFmtId="0" xfId="0" applyAlignment="1" applyBorder="1" applyFill="1" applyFont="1">
      <alignment horizontal="center" shrinkToFit="0" vertical="center" wrapText="1"/>
    </xf>
    <xf borderId="7" fillId="0" fontId="3" numFmtId="0" xfId="0" applyAlignment="1" applyBorder="1" applyFont="1">
      <alignment horizontal="right" readingOrder="0" vertical="bottom"/>
    </xf>
    <xf borderId="0" fillId="0" fontId="24" numFmtId="0" xfId="0" applyAlignment="1" applyFont="1">
      <alignment horizontal="center" readingOrder="0" shrinkToFit="0" vertical="center" wrapText="1"/>
    </xf>
    <xf borderId="11" fillId="20" fontId="3" numFmtId="0" xfId="0" applyAlignment="1" applyBorder="1" applyFill="1" applyFont="1">
      <alignment horizontal="center" shrinkToFit="0" vertical="center" wrapText="1"/>
    </xf>
    <xf borderId="0" fillId="0" fontId="3" numFmtId="0" xfId="0" applyAlignment="1" applyFont="1">
      <alignment shrinkToFit="0" vertical="bottom" wrapText="1"/>
    </xf>
    <xf borderId="0" fillId="0" fontId="25" numFmtId="0" xfId="0" applyAlignment="1" applyFont="1">
      <alignment vertical="bottom"/>
    </xf>
    <xf borderId="0" fillId="6" fontId="3" numFmtId="0" xfId="0" applyAlignment="1" applyFont="1">
      <alignment readingOrder="0" vertical="center"/>
    </xf>
    <xf borderId="11" fillId="14" fontId="3" numFmtId="0" xfId="0" applyAlignment="1" applyBorder="1" applyFont="1">
      <alignment horizontal="center" shrinkToFit="0" vertical="center" wrapText="1"/>
    </xf>
    <xf borderId="0" fillId="0" fontId="12" numFmtId="0" xfId="0" applyAlignment="1" applyFont="1">
      <alignment horizontal="left" readingOrder="0" shrinkToFit="0" vertical="center" wrapText="1"/>
    </xf>
    <xf borderId="11" fillId="15" fontId="3" numFmtId="0" xfId="0" applyAlignment="1" applyBorder="1" applyFont="1">
      <alignment horizontal="center" shrinkToFit="0" vertical="center" wrapText="1"/>
    </xf>
    <xf borderId="0" fillId="6" fontId="3" numFmtId="0" xfId="0" applyAlignment="1" applyFont="1">
      <alignment horizontal="center" readingOrder="0" vertical="center"/>
    </xf>
    <xf borderId="0" fillId="6" fontId="3" numFmtId="0" xfId="0" applyAlignment="1" applyFont="1">
      <alignment horizontal="center" vertical="center"/>
    </xf>
    <xf borderId="0" fillId="6" fontId="3" numFmtId="0" xfId="0" applyAlignment="1" applyFont="1">
      <alignment vertical="center"/>
    </xf>
    <xf borderId="11" fillId="4" fontId="3" numFmtId="0" xfId="0" applyAlignment="1" applyBorder="1" applyFont="1">
      <alignment horizontal="center" shrinkToFit="0" vertical="center" wrapText="1"/>
    </xf>
    <xf borderId="6" fillId="0" fontId="8" numFmtId="0" xfId="0" applyAlignment="1" applyBorder="1" applyFont="1">
      <alignment horizontal="center" readingOrder="0" shrinkToFit="0" vertical="center" wrapText="1"/>
    </xf>
    <xf borderId="0" fillId="0" fontId="2" numFmtId="0" xfId="0" applyAlignment="1" applyFont="1">
      <alignment shrinkToFit="0" vertical="center" wrapText="1"/>
    </xf>
    <xf borderId="0" fillId="0" fontId="3" numFmtId="0" xfId="0" applyAlignment="1" applyFont="1">
      <alignment vertical="center"/>
    </xf>
    <xf borderId="6" fillId="3" fontId="8" numFmtId="0" xfId="0" applyAlignment="1" applyBorder="1" applyFont="1">
      <alignment horizontal="center" shrinkToFit="0" vertical="center" wrapText="1"/>
    </xf>
    <xf borderId="0" fillId="0" fontId="3" numFmtId="0" xfId="0" applyAlignment="1" applyFont="1">
      <alignment shrinkToFit="0" vertical="center" wrapText="1"/>
    </xf>
    <xf borderId="7" fillId="3" fontId="10" numFmtId="0" xfId="0" applyAlignment="1" applyBorder="1" applyFont="1">
      <alignment horizontal="center" shrinkToFit="0" vertical="center" wrapText="1"/>
    </xf>
    <xf borderId="7" fillId="3" fontId="9" numFmtId="0" xfId="0" applyAlignment="1" applyBorder="1" applyFont="1">
      <alignment horizontal="center" shrinkToFit="0" vertical="center" wrapText="1"/>
    </xf>
    <xf borderId="0" fillId="0" fontId="3" numFmtId="0" xfId="0" applyAlignment="1" applyFont="1">
      <alignment horizontal="left" readingOrder="0" shrinkToFit="0" vertical="center" wrapText="1"/>
    </xf>
    <xf borderId="7" fillId="3" fontId="26" numFmtId="0" xfId="0" applyAlignment="1" applyBorder="1" applyFont="1">
      <alignment horizontal="center" shrinkToFit="0" vertical="center" wrapText="1"/>
    </xf>
    <xf borderId="0" fillId="0" fontId="3" numFmtId="0" xfId="0" applyAlignment="1" applyFont="1">
      <alignment horizontal="center" shrinkToFit="0" vertical="center" wrapText="1"/>
    </xf>
    <xf borderId="16" fillId="0" fontId="3" numFmtId="0" xfId="0" applyAlignment="1" applyBorder="1" applyFont="1">
      <alignment horizontal="center" readingOrder="0" vertical="center"/>
    </xf>
    <xf borderId="16" fillId="0" fontId="3" numFmtId="0" xfId="0" applyAlignment="1" applyBorder="1" applyFont="1">
      <alignment horizontal="left" readingOrder="0" shrinkToFit="0" vertical="center" wrapText="1"/>
    </xf>
    <xf borderId="12" fillId="6" fontId="3" numFmtId="0" xfId="0" applyAlignment="1" applyBorder="1" applyFont="1">
      <alignment readingOrder="0" shrinkToFit="0" vertical="center" wrapText="1"/>
    </xf>
    <xf borderId="17" fillId="6" fontId="3" numFmtId="0" xfId="0" applyAlignment="1" applyBorder="1" applyFont="1">
      <alignment horizontal="center" readingOrder="0" vertical="center"/>
    </xf>
    <xf borderId="8" fillId="6" fontId="3" numFmtId="0" xfId="0" applyAlignment="1" applyBorder="1" applyFont="1">
      <alignment shrinkToFit="0" vertical="center" wrapText="1"/>
    </xf>
    <xf borderId="18" fillId="6" fontId="3" numFmtId="0" xfId="0" applyAlignment="1" applyBorder="1" applyFont="1">
      <alignment horizontal="center" vertical="center"/>
    </xf>
    <xf borderId="0" fillId="0" fontId="3" numFmtId="0" xfId="0" applyAlignment="1" applyFont="1">
      <alignment horizontal="center" readingOrder="0" shrinkToFit="0" vertical="center" wrapText="1"/>
    </xf>
    <xf borderId="0" fillId="0" fontId="3" numFmtId="0" xfId="0" applyAlignment="1" applyFont="1">
      <alignment readingOrder="0" shrinkToFit="0" vertical="center" wrapText="1"/>
    </xf>
    <xf borderId="12" fillId="6" fontId="3" numFmtId="0" xfId="0" applyAlignment="1" applyBorder="1" applyFont="1">
      <alignment horizontal="center" readingOrder="0" shrinkToFit="0" vertical="center" wrapText="1"/>
    </xf>
    <xf borderId="8" fillId="6" fontId="3" numFmtId="0" xfId="0" applyAlignment="1" applyBorder="1" applyFont="1">
      <alignment readingOrder="0" shrinkToFit="0" vertical="center" wrapText="1"/>
    </xf>
    <xf borderId="8" fillId="6" fontId="3" numFmtId="0" xfId="0" applyAlignment="1" applyBorder="1" applyFont="1">
      <alignment horizontal="left" shrinkToFit="0" vertical="center" wrapText="1"/>
    </xf>
    <xf borderId="8" fillId="6" fontId="3" numFmtId="0" xfId="0" applyAlignment="1" applyBorder="1" applyFont="1">
      <alignment horizontal="left" readingOrder="0" shrinkToFit="0" vertical="center" wrapText="1"/>
    </xf>
    <xf borderId="12" fillId="6" fontId="3" numFmtId="0" xfId="0" applyAlignment="1" applyBorder="1" applyFont="1">
      <alignment shrinkToFit="0" vertical="center" wrapText="1"/>
    </xf>
    <xf borderId="8" fillId="6" fontId="3" numFmtId="0" xfId="0" applyAlignment="1" applyBorder="1" applyFont="1">
      <alignment horizontal="center" readingOrder="0" shrinkToFit="0" vertical="center" wrapText="1"/>
    </xf>
    <xf borderId="6" fillId="0" fontId="3" numFmtId="0" xfId="0" applyAlignment="1" applyBorder="1" applyFont="1">
      <alignment horizontal="center" shrinkToFit="0" vertical="center" wrapText="1"/>
    </xf>
    <xf borderId="12" fillId="6" fontId="3" numFmtId="0" xfId="0" applyAlignment="1" applyBorder="1" applyFont="1">
      <alignment horizontal="center" shrinkToFit="0" vertical="center" wrapText="1"/>
    </xf>
    <xf borderId="10" fillId="6" fontId="3" numFmtId="0" xfId="0" applyAlignment="1" applyBorder="1" applyFont="1">
      <alignment readingOrder="0" shrinkToFit="0" vertical="center" wrapText="1"/>
    </xf>
    <xf borderId="10" fillId="6" fontId="3" numFmtId="0" xfId="0" applyAlignment="1" applyBorder="1" applyFont="1">
      <alignment shrinkToFit="0" vertical="center" wrapText="1"/>
    </xf>
    <xf borderId="7" fillId="6" fontId="3" numFmtId="0" xfId="0" applyAlignment="1" applyBorder="1" applyFont="1">
      <alignment shrinkToFit="0" vertical="center" wrapText="1"/>
    </xf>
    <xf borderId="10" fillId="6" fontId="3" numFmtId="0" xfId="0" applyAlignment="1" applyBorder="1" applyFont="1">
      <alignment horizontal="center" readingOrder="0" shrinkToFit="0" vertical="center" wrapText="1"/>
    </xf>
    <xf borderId="7" fillId="6" fontId="3" numFmtId="0" xfId="0" applyAlignment="1" applyBorder="1" applyFont="1">
      <alignment horizontal="left" shrinkToFit="0" vertical="center" wrapText="1"/>
    </xf>
    <xf borderId="7" fillId="6" fontId="3" numFmtId="0" xfId="0" applyAlignment="1" applyBorder="1" applyFont="1">
      <alignment horizontal="left" readingOrder="0" shrinkToFit="0" vertical="center" wrapText="1"/>
    </xf>
    <xf borderId="9" fillId="10" fontId="3" numFmtId="0" xfId="0" applyAlignment="1" applyBorder="1" applyFont="1">
      <alignment horizontal="center" shrinkToFit="0" vertical="center" wrapText="1"/>
    </xf>
    <xf borderId="11" fillId="8" fontId="3" numFmtId="0" xfId="0" applyAlignment="1" applyBorder="1" applyFont="1">
      <alignment horizontal="center" readingOrder="0" shrinkToFit="0" vertical="center" wrapText="1"/>
    </xf>
    <xf borderId="10" fillId="6" fontId="3" numFmtId="0" xfId="0" applyAlignment="1" applyBorder="1" applyFont="1">
      <alignment horizontal="center" shrinkToFit="0" vertical="center" wrapText="1"/>
    </xf>
    <xf borderId="11" fillId="21" fontId="3" numFmtId="0" xfId="0" applyAlignment="1" applyBorder="1" applyFill="1" applyFont="1">
      <alignment horizontal="center" shrinkToFit="0" vertical="center" wrapText="1"/>
    </xf>
    <xf borderId="9" fillId="12" fontId="3" numFmtId="0" xfId="0" applyAlignment="1" applyBorder="1" applyFont="1">
      <alignment horizontal="center" shrinkToFit="0" vertical="center" wrapText="1"/>
    </xf>
    <xf borderId="11" fillId="22" fontId="14" numFmtId="0" xfId="0" applyAlignment="1" applyBorder="1" applyFill="1" applyFont="1">
      <alignment horizontal="center" shrinkToFit="0" textRotation="90" vertical="center" wrapText="1"/>
    </xf>
    <xf borderId="11" fillId="22" fontId="3" numFmtId="0" xfId="0" applyAlignment="1" applyBorder="1" applyFont="1">
      <alignment horizontal="center" shrinkToFit="0" vertical="center" wrapText="1"/>
    </xf>
    <xf borderId="0" fillId="0" fontId="3" numFmtId="0" xfId="0" applyAlignment="1" applyFont="1">
      <alignment horizontal="left" readingOrder="0" shrinkToFit="0" vertical="center" wrapText="1"/>
    </xf>
    <xf borderId="11" fillId="23" fontId="3" numFmtId="0" xfId="0" applyAlignment="1" applyBorder="1" applyFill="1" applyFont="1">
      <alignment horizontal="center" shrinkToFit="0" vertical="center" wrapText="1"/>
    </xf>
    <xf borderId="0" fillId="6" fontId="27" numFmtId="0" xfId="0" applyAlignment="1" applyFont="1">
      <alignment horizontal="left" readingOrder="0" shrinkToFit="0" vertical="center" wrapText="1"/>
    </xf>
    <xf borderId="11" fillId="24" fontId="3" numFmtId="0" xfId="0" applyAlignment="1" applyBorder="1" applyFill="1" applyFont="1">
      <alignment horizontal="center" shrinkToFit="0" vertical="center" wrapText="1"/>
    </xf>
    <xf borderId="0" fillId="6" fontId="3" numFmtId="0" xfId="0" applyAlignment="1" applyFont="1">
      <alignment readingOrder="0" shrinkToFit="0" vertical="center" wrapText="1"/>
    </xf>
    <xf borderId="0" fillId="6" fontId="12" numFmtId="0" xfId="0" applyAlignment="1" applyFont="1">
      <alignment horizontal="left" readingOrder="0" shrinkToFit="0" vertical="center" wrapText="1"/>
    </xf>
    <xf borderId="0" fillId="6" fontId="3" numFmtId="0" xfId="0" applyAlignment="1" applyFont="1">
      <alignment horizontal="center" readingOrder="0" shrinkToFit="0" vertical="center" wrapText="1"/>
    </xf>
    <xf borderId="0" fillId="6" fontId="3" numFmtId="0" xfId="0" applyAlignment="1" applyFont="1">
      <alignment shrinkToFit="0" vertical="center" wrapText="1"/>
    </xf>
    <xf borderId="0" fillId="6" fontId="3" numFmtId="0" xfId="0" applyAlignment="1" applyFont="1">
      <alignment horizontal="center" shrinkToFit="0" vertical="center" wrapText="1"/>
    </xf>
    <xf borderId="0" fillId="6" fontId="2" numFmtId="0" xfId="0" applyAlignment="1" applyFont="1">
      <alignment readingOrder="0"/>
    </xf>
    <xf borderId="0" fillId="6" fontId="2" numFmtId="0" xfId="0" applyFont="1"/>
    <xf borderId="6" fillId="0" fontId="2" numFmtId="0" xfId="0" applyAlignment="1" applyBorder="1" applyFont="1">
      <alignment horizontal="center" readingOrder="0" vertical="center"/>
    </xf>
    <xf borderId="6" fillId="0" fontId="2" numFmtId="0" xfId="0" applyAlignment="1" applyBorder="1" applyFont="1">
      <alignment readingOrder="0" shrinkToFit="0" vertical="center" wrapText="1"/>
    </xf>
    <xf borderId="7" fillId="6" fontId="3" numFmtId="0" xfId="0" applyAlignment="1" applyBorder="1" applyFont="1">
      <alignment horizontal="center" readingOrder="0" shrinkToFit="0" vertical="center" wrapText="1"/>
    </xf>
    <xf borderId="0" fillId="0" fontId="2" numFmtId="0" xfId="0" applyAlignment="1" applyFont="1">
      <alignment horizontal="center" readingOrder="0" vertical="center"/>
    </xf>
    <xf borderId="0" fillId="0" fontId="2" numFmtId="0" xfId="0" applyAlignment="1" applyFont="1">
      <alignment readingOrder="0" shrinkToFit="0" vertical="center" wrapText="1"/>
    </xf>
    <xf borderId="8" fillId="6" fontId="3" numFmtId="0" xfId="0" applyAlignment="1" applyBorder="1" applyFont="1">
      <alignment horizontal="center" shrinkToFit="0" vertical="center" wrapText="1"/>
    </xf>
    <xf borderId="7" fillId="6" fontId="3" numFmtId="0" xfId="0" applyAlignment="1" applyBorder="1" applyFont="1">
      <alignment horizontal="center" shrinkToFit="0" vertical="center" wrapText="1"/>
    </xf>
    <xf borderId="11" fillId="8" fontId="14" numFmtId="0" xfId="0" applyAlignment="1" applyBorder="1" applyFont="1">
      <alignment horizontal="center" readingOrder="0" shrinkToFit="0" textRotation="90" vertical="center" wrapText="1"/>
    </xf>
    <xf borderId="9" fillId="10" fontId="2" numFmtId="0" xfId="0" applyAlignment="1" applyBorder="1" applyFont="1">
      <alignment readingOrder="0" shrinkToFit="0" wrapText="1"/>
    </xf>
    <xf borderId="0" fillId="0" fontId="28" numFmtId="0" xfId="0" applyAlignment="1" applyFont="1">
      <alignment horizontal="left" readingOrder="0" shrinkToFit="0" vertical="center" wrapText="0"/>
    </xf>
    <xf borderId="11" fillId="22" fontId="14" numFmtId="0" xfId="0" applyAlignment="1" applyBorder="1" applyFont="1">
      <alignment horizontal="center" readingOrder="0" shrinkToFit="0" textRotation="90" vertical="center" wrapText="1"/>
    </xf>
    <xf borderId="19" fillId="0" fontId="3" numFmtId="0" xfId="0" applyAlignment="1" applyBorder="1" applyFont="1">
      <alignment shrinkToFit="0" vertical="center" wrapText="1"/>
    </xf>
    <xf borderId="20" fillId="15" fontId="3" numFmtId="0" xfId="0" applyAlignment="1" applyBorder="1" applyFont="1">
      <alignment horizontal="center" shrinkToFit="0" vertical="center" wrapText="1"/>
    </xf>
    <xf borderId="21" fillId="0" fontId="3" numFmtId="0" xfId="0" applyAlignment="1" applyBorder="1" applyFont="1">
      <alignment shrinkToFit="0" vertical="center" wrapText="1"/>
    </xf>
    <xf borderId="22" fillId="0" fontId="29" numFmtId="0" xfId="0" applyAlignment="1" applyBorder="1" applyFont="1">
      <alignment horizontal="center" shrinkToFit="0" vertical="center" wrapText="1"/>
    </xf>
    <xf borderId="7" fillId="0" fontId="3" numFmtId="0" xfId="0" applyAlignment="1" applyBorder="1" applyFont="1">
      <alignment shrinkToFit="0" vertical="center" wrapText="1"/>
    </xf>
    <xf borderId="23" fillId="0" fontId="2" numFmtId="0" xfId="0" applyBorder="1" applyFont="1"/>
    <xf borderId="15" fillId="0" fontId="3" numFmtId="0" xfId="0" applyAlignment="1" applyBorder="1" applyFont="1">
      <alignment shrinkToFit="0" vertical="center" wrapText="1"/>
    </xf>
    <xf borderId="6" fillId="3" fontId="30" numFmtId="0" xfId="0" applyAlignment="1" applyBorder="1" applyFont="1">
      <alignment shrinkToFit="0" vertical="center" wrapText="1"/>
    </xf>
    <xf borderId="21" fillId="3" fontId="31" numFmtId="0" xfId="0" applyAlignment="1" applyBorder="1" applyFont="1">
      <alignment horizontal="center" readingOrder="0" shrinkToFit="0" vertical="center" wrapText="1"/>
    </xf>
    <xf borderId="6" fillId="3" fontId="31" numFmtId="0" xfId="0" applyAlignment="1" applyBorder="1" applyFont="1">
      <alignment horizontal="center" readingOrder="0" shrinkToFit="0" vertical="center" wrapText="1"/>
    </xf>
    <xf borderId="15" fillId="3" fontId="31" numFmtId="0" xfId="0" applyAlignment="1" applyBorder="1" applyFont="1">
      <alignment horizontal="center" readingOrder="0" shrinkToFit="0" vertical="center" wrapText="1"/>
    </xf>
    <xf borderId="0" fillId="3" fontId="30" numFmtId="0" xfId="0" applyAlignment="1" applyFont="1">
      <alignment readingOrder="0" shrinkToFit="0" vertical="center" wrapText="1"/>
    </xf>
    <xf borderId="0" fillId="16" fontId="3" numFmtId="0" xfId="0" applyAlignment="1" applyFont="1">
      <alignment horizontal="center" readingOrder="0" shrinkToFit="0" vertical="center" wrapText="1"/>
    </xf>
    <xf borderId="20" fillId="25" fontId="3" numFmtId="0" xfId="0" applyAlignment="1" applyBorder="1" applyFill="1" applyFont="1">
      <alignment horizontal="center" shrinkToFit="0" vertical="center" wrapText="1"/>
    </xf>
    <xf borderId="20" fillId="11" fontId="3" numFmtId="0" xfId="0" applyAlignment="1" applyBorder="1" applyFont="1">
      <alignment horizontal="center" shrinkToFit="0" vertical="center" wrapText="1"/>
    </xf>
    <xf borderId="24" fillId="0" fontId="32" numFmtId="0" xfId="0" applyAlignment="1" applyBorder="1" applyFont="1">
      <alignment horizontal="center" shrinkToFit="0" vertical="center" wrapText="1"/>
    </xf>
    <xf borderId="24" fillId="0" fontId="2" numFmtId="0" xfId="0" applyBorder="1" applyFont="1"/>
    <xf borderId="25" fillId="0" fontId="2" numFmtId="0" xfId="0" applyBorder="1" applyFont="1"/>
    <xf borderId="24" fillId="0" fontId="33" numFmtId="0" xfId="0" applyAlignment="1" applyBorder="1" applyFont="1">
      <alignment horizontal="center" readingOrder="0" shrinkToFit="0" vertical="center" wrapText="1"/>
    </xf>
    <xf borderId="26" fillId="26" fontId="30" numFmtId="0" xfId="0" applyAlignment="1" applyBorder="1" applyFill="1" applyFont="1">
      <alignment horizontal="center" shrinkToFit="0" vertical="center" wrapText="1"/>
    </xf>
    <xf borderId="27" fillId="15" fontId="34" numFmtId="0" xfId="0" applyAlignment="1" applyBorder="1" applyFont="1">
      <alignment horizontal="center" shrinkToFit="0" vertical="center" wrapText="1"/>
    </xf>
    <xf borderId="28" fillId="0" fontId="35" numFmtId="0" xfId="0" applyAlignment="1" applyBorder="1" applyFont="1">
      <alignment horizontal="center" shrinkToFit="0" vertical="center" wrapText="1"/>
    </xf>
    <xf borderId="25" fillId="0" fontId="29" numFmtId="0" xfId="0" applyAlignment="1" applyBorder="1" applyFont="1">
      <alignment horizontal="center" shrinkToFit="0" vertical="center" wrapText="1"/>
    </xf>
    <xf borderId="27" fillId="3" fontId="3" numFmtId="0" xfId="0" applyAlignment="1" applyBorder="1" applyFont="1">
      <alignment horizontal="center" shrinkToFit="0" vertical="center" wrapText="1"/>
    </xf>
    <xf borderId="28" fillId="3" fontId="3" numFmtId="0" xfId="0" applyAlignment="1" applyBorder="1" applyFont="1">
      <alignment horizontal="center" shrinkToFit="0" vertical="center" wrapText="1"/>
    </xf>
    <xf borderId="25" fillId="3" fontId="3" numFmtId="0" xfId="0" applyAlignment="1" applyBorder="1" applyFont="1">
      <alignment horizontal="center" shrinkToFit="0" vertical="center" wrapText="1"/>
    </xf>
    <xf borderId="26" fillId="0" fontId="2" numFmtId="0" xfId="0" applyBorder="1" applyFont="1"/>
    <xf borderId="29" fillId="0" fontId="2" numFmtId="0" xfId="0" applyBorder="1" applyFont="1"/>
    <xf borderId="19" fillId="16" fontId="3" numFmtId="0" xfId="0" applyAlignment="1" applyBorder="1" applyFont="1">
      <alignment horizontal="center" shrinkToFit="0" vertical="center" wrapText="1"/>
    </xf>
    <xf borderId="30" fillId="16" fontId="3" numFmtId="0" xfId="0" applyAlignment="1" applyBorder="1" applyFont="1">
      <alignment horizontal="center" shrinkToFit="0" vertical="center" wrapText="1"/>
    </xf>
    <xf borderId="24" fillId="16" fontId="3" numFmtId="0" xfId="0" applyAlignment="1" applyBorder="1" applyFont="1">
      <alignment horizontal="center" shrinkToFit="0" vertical="center" wrapText="1"/>
    </xf>
    <xf borderId="25" fillId="16" fontId="3" numFmtId="0" xfId="0" applyAlignment="1" applyBorder="1" applyFont="1">
      <alignment horizontal="center" shrinkToFit="0" vertical="center" wrapText="1"/>
    </xf>
    <xf borderId="31" fillId="16" fontId="3" numFmtId="0" xfId="0" applyAlignment="1" applyBorder="1" applyFont="1">
      <alignment horizontal="center" shrinkToFit="0" vertical="center" wrapText="1"/>
    </xf>
    <xf borderId="32" fillId="16" fontId="3" numFmtId="0" xfId="0" applyAlignment="1" applyBorder="1" applyFont="1">
      <alignment horizontal="center" shrinkToFit="0" vertical="center" wrapText="1"/>
    </xf>
    <xf borderId="8" fillId="3" fontId="36" numFmtId="0" xfId="0" applyAlignment="1" applyBorder="1" applyFont="1">
      <alignment horizontal="center" shrinkToFit="0" vertical="center" wrapText="1"/>
    </xf>
    <xf borderId="7" fillId="3" fontId="30" numFmtId="0" xfId="0" applyAlignment="1" applyBorder="1" applyFont="1">
      <alignment horizontal="center" shrinkToFit="0" vertical="center" wrapText="1"/>
    </xf>
    <xf borderId="7" fillId="3" fontId="37" numFmtId="0" xfId="0" applyAlignment="1" applyBorder="1" applyFont="1">
      <alignment horizontal="center" shrinkToFit="0" vertical="center" wrapText="1"/>
    </xf>
    <xf borderId="7" fillId="3" fontId="36" numFmtId="0" xfId="0" applyAlignment="1" applyBorder="1" applyFont="1">
      <alignment horizontal="center" shrinkToFit="0" vertical="center" wrapText="1"/>
    </xf>
    <xf borderId="19" fillId="3" fontId="31" numFmtId="0" xfId="0" applyAlignment="1" applyBorder="1" applyFont="1">
      <alignment horizontal="center" shrinkToFit="0" vertical="center" wrapText="1"/>
    </xf>
    <xf borderId="6" fillId="3" fontId="31" numFmtId="0" xfId="0" applyAlignment="1" applyBorder="1" applyFont="1">
      <alignment horizontal="center" shrinkToFit="0" vertical="center" wrapText="1"/>
    </xf>
    <xf borderId="26" fillId="4" fontId="30" numFmtId="0" xfId="0" applyAlignment="1" applyBorder="1" applyFont="1">
      <alignment horizontal="center" shrinkToFit="0" vertical="center" wrapText="1"/>
    </xf>
    <xf borderId="33" fillId="3" fontId="3" numFmtId="0" xfId="0" applyAlignment="1" applyBorder="1" applyFont="1">
      <alignment horizontal="center" shrinkToFit="0" vertical="center" wrapText="1"/>
    </xf>
    <xf borderId="34" fillId="3" fontId="3" numFmtId="0" xfId="0" applyAlignment="1" applyBorder="1" applyFont="1">
      <alignment horizontal="center" shrinkToFit="0" vertical="center" wrapText="1"/>
    </xf>
    <xf borderId="32" fillId="3" fontId="3" numFmtId="0" xfId="0" applyAlignment="1" applyBorder="1" applyFont="1">
      <alignment horizontal="center" shrinkToFit="0" vertical="center" wrapText="1"/>
    </xf>
    <xf borderId="27" fillId="11" fontId="38" numFmtId="0" xfId="0" applyAlignment="1" applyBorder="1" applyFont="1">
      <alignment horizontal="center" shrinkToFit="0" vertical="center" wrapText="1"/>
    </xf>
    <xf borderId="35" fillId="3" fontId="36" numFmtId="0" xfId="0" applyAlignment="1" applyBorder="1" applyFont="1">
      <alignment horizontal="center" shrinkToFit="0" vertical="center" wrapText="1"/>
    </xf>
    <xf borderId="7" fillId="3" fontId="31" numFmtId="0" xfId="0" applyAlignment="1" applyBorder="1" applyFont="1">
      <alignment horizontal="center" shrinkToFit="0" vertical="center" wrapText="1"/>
    </xf>
    <xf borderId="10" fillId="3" fontId="36" numFmtId="0" xfId="0" applyAlignment="1" applyBorder="1" applyFont="1">
      <alignment horizontal="center" shrinkToFit="0" vertical="center" wrapText="1"/>
    </xf>
    <xf borderId="0" fillId="5" fontId="15" numFmtId="0" xfId="0" applyAlignment="1" applyFont="1">
      <alignment horizontal="center" shrinkToFit="0" vertical="center" wrapText="1"/>
    </xf>
    <xf borderId="0" fillId="0" fontId="39" numFmtId="0" xfId="0" applyAlignment="1" applyFont="1">
      <alignment shrinkToFit="0" vertical="center" wrapText="1"/>
    </xf>
    <xf borderId="34" fillId="0" fontId="35" numFmtId="0" xfId="0" applyAlignment="1" applyBorder="1" applyFont="1">
      <alignment horizontal="center" shrinkToFit="0" vertical="center" wrapText="1"/>
    </xf>
    <xf borderId="32" fillId="0" fontId="29" numFmtId="0" xfId="0" applyAlignment="1" applyBorder="1" applyFont="1">
      <alignment horizontal="center" shrinkToFit="0" vertical="center" wrapText="1"/>
    </xf>
    <xf borderId="26" fillId="8" fontId="30" numFmtId="0" xfId="0" applyAlignment="1" applyBorder="1" applyFont="1">
      <alignment horizontal="center" shrinkToFit="0" vertical="center" wrapText="1"/>
    </xf>
    <xf borderId="27" fillId="25" fontId="40" numFmtId="0" xfId="0" applyAlignment="1" applyBorder="1" applyFont="1">
      <alignment horizontal="center" shrinkToFit="0" vertical="center" wrapText="1"/>
    </xf>
    <xf borderId="28" fillId="0" fontId="35" numFmtId="0" xfId="0" applyAlignment="1" applyBorder="1" applyFont="1">
      <alignment horizontal="center" readingOrder="0" shrinkToFit="0" vertical="center" wrapText="1"/>
    </xf>
    <xf borderId="31" fillId="5" fontId="15" numFmtId="0" xfId="0" applyAlignment="1" applyBorder="1" applyFont="1">
      <alignment horizontal="center" shrinkToFit="0" vertical="center" wrapText="1"/>
    </xf>
    <xf borderId="8" fillId="0" fontId="3" numFmtId="0" xfId="0" applyAlignment="1" applyBorder="1" applyFont="1">
      <alignment shrinkToFit="0" vertical="center" wrapText="1"/>
    </xf>
    <xf borderId="26" fillId="11" fontId="30" numFmtId="0" xfId="0" applyAlignment="1" applyBorder="1" applyFont="1">
      <alignment horizontal="center" shrinkToFit="0" vertical="center" wrapText="1"/>
    </xf>
    <xf borderId="25" fillId="0" fontId="41" numFmtId="0" xfId="0" applyAlignment="1" applyBorder="1" applyFont="1">
      <alignment horizontal="center" shrinkToFit="0" vertical="center" wrapText="1"/>
    </xf>
    <xf borderId="26" fillId="12" fontId="30" numFmtId="0" xfId="0" applyAlignment="1" applyBorder="1" applyFont="1">
      <alignment horizontal="center" shrinkToFit="0" vertical="center" wrapText="1"/>
    </xf>
    <xf borderId="26" fillId="22" fontId="30" numFmtId="0" xfId="0" applyAlignment="1" applyBorder="1" applyFont="1">
      <alignment horizontal="center" shrinkToFit="0" vertical="center" wrapText="1"/>
    </xf>
    <xf borderId="34" fillId="0" fontId="2" numFmtId="0" xfId="0" applyBorder="1" applyFont="1"/>
    <xf borderId="28" fillId="0" fontId="2" numFmtId="0" xfId="0" applyBorder="1" applyFont="1"/>
    <xf borderId="6" fillId="16" fontId="3" numFmtId="0" xfId="0" applyAlignment="1" applyBorder="1" applyFont="1">
      <alignment horizontal="center" shrinkToFit="0" vertical="center" wrapText="1"/>
    </xf>
    <xf borderId="26" fillId="17" fontId="30" numFmtId="0" xfId="0" applyAlignment="1" applyBorder="1" applyFont="1">
      <alignment horizontal="center" shrinkToFit="0" vertical="center" wrapText="1"/>
    </xf>
    <xf borderId="31" fillId="15" fontId="34" numFmtId="0" xfId="0" applyAlignment="1" applyBorder="1" applyFont="1">
      <alignment horizontal="center" shrinkToFit="0" vertical="center" wrapText="1"/>
    </xf>
    <xf borderId="0" fillId="0" fontId="29" numFmtId="0" xfId="0" applyAlignment="1" applyFont="1">
      <alignment horizontal="center" shrinkToFit="0" vertical="center" wrapText="1"/>
    </xf>
    <xf borderId="26" fillId="27" fontId="30" numFmtId="0" xfId="0" applyAlignment="1" applyBorder="1" applyFill="1" applyFont="1">
      <alignment horizontal="center" readingOrder="0" shrinkToFit="0" vertical="center" wrapText="1"/>
    </xf>
    <xf borderId="31" fillId="11" fontId="38" numFmtId="0" xfId="0" applyAlignment="1" applyBorder="1" applyFont="1">
      <alignment horizontal="center" shrinkToFit="0" vertical="center" wrapText="1"/>
    </xf>
    <xf borderId="19" fillId="16" fontId="3" numFmtId="0" xfId="0" applyAlignment="1" applyBorder="1" applyFont="1">
      <alignment vertical="center"/>
    </xf>
    <xf borderId="0" fillId="16" fontId="39" numFmtId="0" xfId="0" applyAlignment="1" applyFont="1">
      <alignment shrinkToFit="0" vertical="center" wrapText="1"/>
    </xf>
    <xf borderId="0" fillId="5" fontId="15" numFmtId="0" xfId="0" applyAlignment="1" applyFont="1">
      <alignment horizontal="center" readingOrder="0" shrinkToFit="0" vertical="center" wrapText="1"/>
    </xf>
    <xf borderId="31" fillId="5" fontId="15" numFmtId="0" xfId="0" applyAlignment="1" applyBorder="1" applyFont="1">
      <alignment horizontal="center" readingOrder="0" shrinkToFit="0" vertical="center" wrapText="1"/>
    </xf>
    <xf borderId="7" fillId="5" fontId="15" numFmtId="0" xfId="0" applyAlignment="1" applyBorder="1" applyFont="1">
      <alignment horizontal="center" readingOrder="0" shrinkToFit="0" vertical="center" wrapText="1"/>
    </xf>
    <xf borderId="0" fillId="16" fontId="3" numFmtId="0" xfId="0" applyAlignment="1" applyFont="1">
      <alignment shrinkToFit="0" vertical="center" wrapText="1"/>
    </xf>
    <xf borderId="32" fillId="16" fontId="3" numFmtId="0" xfId="0" applyAlignment="1" applyBorder="1" applyFont="1">
      <alignment shrinkToFit="0" vertical="center" wrapText="1"/>
    </xf>
    <xf borderId="31" fillId="16" fontId="3" numFmtId="0" xfId="0" applyAlignment="1" applyBorder="1" applyFont="1">
      <alignment shrinkToFit="0" vertical="center" wrapText="1"/>
    </xf>
    <xf borderId="8" fillId="16" fontId="3" numFmtId="0" xfId="0" applyAlignment="1" applyBorder="1" applyFont="1">
      <alignment shrinkToFit="0" vertical="center" wrapText="1"/>
    </xf>
    <xf borderId="14" fillId="16" fontId="3" numFmtId="0" xfId="0" applyAlignment="1" applyBorder="1" applyFont="1">
      <alignment shrinkToFit="0" vertical="center" wrapText="1"/>
    </xf>
  </cellXfs>
  <cellStyles count="1">
    <cellStyle xfId="0" name="Normal" builtinId="0"/>
  </cellStyles>
  <dxfs count="12">
    <dxf>
      <font/>
      <fill>
        <patternFill patternType="solid">
          <fgColor rgb="FF6AA84F"/>
          <bgColor rgb="FF6AA84F"/>
        </patternFill>
      </fill>
      <border/>
    </dxf>
    <dxf>
      <font/>
      <fill>
        <patternFill patternType="solid">
          <fgColor rgb="FFCC0000"/>
          <bgColor rgb="FFCC0000"/>
        </patternFill>
      </fill>
      <border/>
    </dxf>
    <dxf>
      <font/>
      <fill>
        <patternFill patternType="solid">
          <fgColor rgb="FFFF8869"/>
          <bgColor rgb="FFFF8869"/>
        </patternFill>
      </fill>
      <border/>
    </dxf>
    <dxf>
      <font/>
      <fill>
        <patternFill patternType="solid">
          <fgColor rgb="FFFFB867"/>
          <bgColor rgb="FFFFB867"/>
        </patternFill>
      </fill>
      <border/>
    </dxf>
    <dxf>
      <font/>
      <fill>
        <patternFill patternType="solid">
          <fgColor rgb="FFFFE866"/>
          <bgColor rgb="FFFFE866"/>
        </patternFill>
      </fill>
      <border/>
    </dxf>
    <dxf>
      <font/>
      <fill>
        <patternFill patternType="solid">
          <fgColor rgb="FFDAFF5C"/>
          <bgColor rgb="FFDAFF5C"/>
        </patternFill>
      </fill>
      <border/>
    </dxf>
    <dxf>
      <font/>
      <fill>
        <patternFill patternType="solid">
          <fgColor rgb="FF87FF5C"/>
          <bgColor rgb="FF87FF5C"/>
        </patternFill>
      </fill>
      <border/>
    </dxf>
    <dxf>
      <font/>
      <fill>
        <patternFill patternType="solid">
          <fgColor rgb="FFB7E1CD"/>
          <bgColor rgb="FFB7E1CD"/>
        </patternFill>
      </fill>
      <border/>
    </dxf>
    <dxf>
      <font>
        <color rgb="FF87FF5C"/>
      </font>
      <fill>
        <patternFill patternType="solid">
          <fgColor rgb="FF87FF5C"/>
          <bgColor rgb="FF87FF5C"/>
        </patternFill>
      </fill>
      <border/>
    </dxf>
    <dxf>
      <font>
        <color rgb="FFFF8869"/>
      </font>
      <fill>
        <patternFill patternType="solid">
          <fgColor rgb="FFFF8869"/>
          <bgColor rgb="FFFF8869"/>
        </patternFill>
      </fill>
      <border/>
    </dxf>
    <dxf>
      <font/>
      <fill>
        <patternFill patternType="solid">
          <fgColor rgb="FFFFFFFF"/>
          <bgColor rgb="FFFFFFFF"/>
        </patternFill>
      </fill>
      <border/>
    </dxf>
    <dxf>
      <font/>
      <fill>
        <patternFill patternType="solid">
          <fgColor rgb="FF000000"/>
          <bgColor rgb="FF00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11" Type="http://schemas.openxmlformats.org/officeDocument/2006/relationships/worksheet" Target="worksheets/sheet9.xml"/><Relationship Id="rId10" Type="http://schemas.openxmlformats.org/officeDocument/2006/relationships/worksheet" Target="worksheets/sheet8.xml"/><Relationship Id="rId12" Type="http://schemas.openxmlformats.org/officeDocument/2006/relationships/worksheet" Target="worksheets/sheet10.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4.xml"/><Relationship Id="rId3"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5.xml"/><Relationship Id="rId3"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6.xml"/><Relationship Id="rId3"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7.xml"/><Relationship Id="rId3"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8.xml"/><Relationship Id="rId3"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9.xml"/><Relationship Id="rId3"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8869"/>
    <outlinePr summaryBelow="0" summaryRight="0"/>
  </sheetPr>
  <sheetViews>
    <sheetView workbookViewId="0"/>
  </sheetViews>
  <sheetFormatPr customHeight="1" defaultColWidth="14.43" defaultRowHeight="15.75"/>
  <sheetData>
    <row r="1">
      <c r="A1" s="1" t="s">
        <v>0</v>
      </c>
      <c r="B1" s="2"/>
      <c r="C1" s="2"/>
      <c r="D1" s="2"/>
      <c r="E1" s="2"/>
      <c r="F1" s="2"/>
      <c r="G1" s="2"/>
      <c r="H1" s="2"/>
      <c r="I1" s="4"/>
    </row>
    <row r="2">
      <c r="A2" s="5"/>
      <c r="B2" s="5"/>
      <c r="C2" s="5"/>
      <c r="D2" s="5"/>
      <c r="E2" s="5"/>
      <c r="F2" s="5"/>
      <c r="G2" s="5"/>
      <c r="H2" s="5"/>
      <c r="I2" s="5"/>
    </row>
    <row r="3">
      <c r="A3" s="6" t="s">
        <v>1</v>
      </c>
      <c r="B3" s="2"/>
      <c r="C3" s="2"/>
      <c r="D3" s="2"/>
      <c r="E3" s="2"/>
      <c r="F3" s="2"/>
      <c r="G3" s="2"/>
      <c r="H3" s="2"/>
      <c r="I3" s="4"/>
    </row>
    <row r="4">
      <c r="A4" s="5"/>
      <c r="B4" s="5"/>
      <c r="C4" s="5"/>
      <c r="D4" s="5"/>
      <c r="E4" s="5"/>
      <c r="F4" s="5"/>
      <c r="G4" s="5"/>
      <c r="H4" s="5"/>
      <c r="I4" s="5"/>
    </row>
    <row r="5">
      <c r="A5" s="8" t="s">
        <v>2</v>
      </c>
      <c r="B5" s="10"/>
      <c r="C5" s="5"/>
      <c r="D5" s="5"/>
      <c r="E5" s="5"/>
      <c r="F5" s="5"/>
      <c r="G5" s="5"/>
      <c r="H5" s="5"/>
      <c r="I5" s="5"/>
    </row>
    <row r="6">
      <c r="A6" s="5"/>
      <c r="B6" s="5"/>
      <c r="C6" s="5"/>
      <c r="D6" s="5"/>
      <c r="E6" s="5"/>
      <c r="F6" s="5"/>
      <c r="G6" s="5"/>
      <c r="H6" s="5"/>
      <c r="I6" s="5"/>
    </row>
    <row r="7">
      <c r="A7" s="18" t="s">
        <v>3</v>
      </c>
      <c r="B7" s="2"/>
      <c r="C7" s="2"/>
      <c r="D7" s="2"/>
      <c r="E7" s="2"/>
      <c r="F7" s="2"/>
      <c r="G7" s="2"/>
      <c r="H7" s="2"/>
      <c r="I7" s="4"/>
    </row>
    <row r="8">
      <c r="A8" s="5"/>
      <c r="B8" s="5"/>
      <c r="C8" s="5"/>
      <c r="D8" s="5"/>
      <c r="E8" s="5"/>
      <c r="F8" s="5"/>
      <c r="G8" s="5"/>
      <c r="H8" s="5"/>
      <c r="I8" s="22"/>
    </row>
    <row r="9">
      <c r="A9" s="18" t="s">
        <v>11</v>
      </c>
      <c r="B9" s="2"/>
      <c r="C9" s="2"/>
      <c r="D9" s="2"/>
      <c r="E9" s="2"/>
      <c r="F9" s="2"/>
      <c r="G9" s="2"/>
      <c r="H9" s="2"/>
      <c r="I9" s="4"/>
    </row>
    <row r="10">
      <c r="A10" s="5"/>
      <c r="B10" s="5"/>
      <c r="C10" s="5"/>
      <c r="D10" s="5"/>
      <c r="E10" s="5"/>
      <c r="F10" s="5"/>
      <c r="G10" s="5"/>
      <c r="H10" s="5"/>
      <c r="I10" s="5"/>
    </row>
    <row r="11">
      <c r="A11" s="18" t="s">
        <v>14</v>
      </c>
      <c r="B11" s="2"/>
      <c r="C11" s="2"/>
      <c r="D11" s="2"/>
      <c r="E11" s="2"/>
      <c r="F11" s="2"/>
      <c r="G11" s="2"/>
      <c r="H11" s="2"/>
      <c r="I11" s="4"/>
    </row>
    <row r="12">
      <c r="A12" s="5"/>
      <c r="B12" s="5"/>
      <c r="C12" s="5"/>
      <c r="D12" s="5"/>
      <c r="E12" s="5"/>
      <c r="F12" s="5"/>
      <c r="G12" s="5"/>
      <c r="H12" s="5"/>
      <c r="I12" s="5"/>
    </row>
  </sheetData>
  <mergeCells count="5">
    <mergeCell ref="A1:I1"/>
    <mergeCell ref="A3:I3"/>
    <mergeCell ref="A7:I7"/>
    <mergeCell ref="A9:I9"/>
    <mergeCell ref="A11:I11"/>
  </mergeCell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4.43" defaultRowHeight="15.75"/>
  <cols>
    <col customWidth="1" min="1" max="1" width="12.57"/>
    <col customWidth="1" min="2" max="2" width="3.0"/>
    <col customWidth="1" min="3" max="3" width="8.71"/>
    <col customWidth="1" min="5" max="5" width="3.0"/>
    <col customWidth="1" min="6" max="6" width="8.71"/>
    <col customWidth="1" min="8" max="8" width="3.0"/>
    <col customWidth="1" min="9" max="9" width="8.71"/>
    <col customWidth="1" min="10" max="10" width="14.29"/>
    <col customWidth="1" min="11" max="11" width="3.0"/>
    <col customWidth="1" min="12" max="12" width="8.71"/>
    <col customWidth="1" min="14" max="14" width="3.0"/>
    <col customWidth="1" min="15" max="15" width="8.71"/>
    <col customWidth="1" min="17" max="17" width="3.0"/>
    <col customWidth="1" min="18" max="18" width="8.71"/>
    <col customWidth="1" min="20" max="20" width="3.0"/>
    <col customWidth="1" min="21" max="21" width="8.71"/>
    <col customWidth="1" min="23" max="23" width="3.0"/>
    <col customWidth="1" min="24" max="24" width="8.71"/>
  </cols>
  <sheetData>
    <row r="1">
      <c r="A1" s="133"/>
      <c r="B1" s="186"/>
      <c r="C1" s="188" t="s">
        <v>691</v>
      </c>
      <c r="D1" s="190"/>
      <c r="E1" s="198"/>
      <c r="F1" s="188" t="s">
        <v>724</v>
      </c>
      <c r="G1" s="190"/>
      <c r="H1" s="199"/>
      <c r="I1" s="188" t="s">
        <v>725</v>
      </c>
      <c r="J1" s="190"/>
      <c r="K1" s="148"/>
      <c r="L1" s="148"/>
      <c r="M1" s="148"/>
      <c r="N1" s="148"/>
      <c r="O1" s="148"/>
      <c r="P1" s="148"/>
      <c r="Q1" s="148"/>
      <c r="R1" s="148"/>
      <c r="S1" s="148"/>
      <c r="T1" s="148"/>
      <c r="U1" s="148"/>
      <c r="V1" s="148"/>
      <c r="W1" s="148"/>
      <c r="X1" s="148"/>
      <c r="Y1" s="148"/>
    </row>
    <row r="2">
      <c r="A2" s="148"/>
      <c r="B2" s="200" t="str">
        <f>HYPERLINK("https://achievethecore.org/file/1256","Kindergarten")</f>
        <v>Kindergarten</v>
      </c>
      <c r="C2" s="201"/>
      <c r="D2" s="201"/>
      <c r="E2" s="200" t="str">
        <f>HYPERLINK("https://achievethecore.org/file/1257","First Grade")</f>
        <v>First Grade</v>
      </c>
      <c r="F2" s="201"/>
      <c r="G2" s="202"/>
      <c r="H2" s="200" t="str">
        <f>HYPERLINK("https://achievethecore.org/file/1258","Second Grade")</f>
        <v>Second Grade</v>
      </c>
      <c r="I2" s="201"/>
      <c r="J2" s="202"/>
      <c r="K2" s="200" t="str">
        <f>HYPERLINK("https://achievethecore.org/file/1259","Third Grade")</f>
        <v>Third Grade</v>
      </c>
      <c r="L2" s="201"/>
      <c r="M2" s="202"/>
      <c r="N2" s="200" t="str">
        <f>HYPERLINK("https://achievethecore.org/file/1260","Fourth Grade")</f>
        <v>Fourth Grade</v>
      </c>
      <c r="O2" s="201"/>
      <c r="P2" s="202"/>
      <c r="Q2" s="200" t="str">
        <f>HYPERLINK("https://achievethecore.org/file/1261","Fifth Grade")</f>
        <v>Fifth Grade</v>
      </c>
      <c r="R2" s="201"/>
      <c r="S2" s="202"/>
      <c r="T2" s="200" t="str">
        <f>HYPERLINK("https://achievethecore.org/file/1262","Sixth Grade")</f>
        <v>Sixth Grade</v>
      </c>
      <c r="U2" s="201"/>
      <c r="V2" s="202"/>
      <c r="W2" s="203" t="str">
        <f>HYPERLINK("https://achievethecore.org/content/upload/SAP_Focus_Math_7.pdf","Seventh Grade")</f>
        <v>Seventh Grade</v>
      </c>
      <c r="X2" s="201"/>
      <c r="Y2" s="202"/>
    </row>
    <row r="3">
      <c r="A3" s="204" t="s">
        <v>726</v>
      </c>
      <c r="B3" s="205" t="s">
        <v>727</v>
      </c>
      <c r="C3" s="206" t="s">
        <v>728</v>
      </c>
      <c r="D3" s="207" t="s">
        <v>182</v>
      </c>
      <c r="E3" s="208"/>
      <c r="F3" s="209"/>
      <c r="G3" s="210"/>
      <c r="H3" s="208"/>
      <c r="I3" s="209"/>
      <c r="J3" s="210"/>
      <c r="K3" s="208"/>
      <c r="L3" s="209"/>
      <c r="M3" s="210"/>
      <c r="N3" s="208"/>
      <c r="O3" s="209"/>
      <c r="P3" s="210"/>
      <c r="Q3" s="208"/>
      <c r="R3" s="209"/>
      <c r="S3" s="210"/>
      <c r="T3" s="208"/>
      <c r="U3" s="209"/>
      <c r="V3" s="210"/>
      <c r="W3" s="209"/>
      <c r="X3" s="209"/>
      <c r="Y3" s="210"/>
    </row>
    <row r="4">
      <c r="A4" s="211"/>
      <c r="B4" s="205" t="s">
        <v>727</v>
      </c>
      <c r="C4" s="206" t="s">
        <v>729</v>
      </c>
      <c r="D4" s="207" t="s">
        <v>203</v>
      </c>
      <c r="E4" s="208"/>
      <c r="F4" s="209"/>
      <c r="G4" s="210"/>
      <c r="H4" s="208"/>
      <c r="I4" s="209"/>
      <c r="J4" s="210"/>
      <c r="K4" s="208"/>
      <c r="L4" s="209"/>
      <c r="M4" s="210"/>
      <c r="N4" s="208"/>
      <c r="O4" s="209"/>
      <c r="P4" s="210"/>
      <c r="Q4" s="208"/>
      <c r="R4" s="209"/>
      <c r="S4" s="210"/>
      <c r="T4" s="208"/>
      <c r="U4" s="209"/>
      <c r="V4" s="210"/>
      <c r="W4" s="209"/>
      <c r="X4" s="209"/>
      <c r="Y4" s="210"/>
    </row>
    <row r="5">
      <c r="A5" s="212"/>
      <c r="B5" s="205" t="s">
        <v>727</v>
      </c>
      <c r="C5" s="206" t="s">
        <v>730</v>
      </c>
      <c r="D5" s="207" t="s">
        <v>236</v>
      </c>
      <c r="E5" s="208"/>
      <c r="F5" s="209"/>
      <c r="G5" s="210"/>
      <c r="H5" s="208"/>
      <c r="I5" s="209"/>
      <c r="J5" s="210"/>
      <c r="K5" s="208"/>
      <c r="L5" s="209"/>
      <c r="M5" s="210"/>
      <c r="N5" s="208"/>
      <c r="O5" s="209"/>
      <c r="P5" s="210"/>
      <c r="Q5" s="208"/>
      <c r="R5" s="209"/>
      <c r="S5" s="210"/>
      <c r="T5" s="208"/>
      <c r="U5" s="209"/>
      <c r="V5" s="210"/>
      <c r="W5" s="209"/>
      <c r="X5" s="209"/>
      <c r="Y5" s="210"/>
    </row>
    <row r="6">
      <c r="A6" s="213"/>
      <c r="B6" s="214"/>
      <c r="C6" s="215"/>
      <c r="D6" s="216"/>
      <c r="E6" s="217"/>
      <c r="F6" s="97"/>
      <c r="G6" s="218"/>
      <c r="H6" s="217"/>
      <c r="I6" s="97"/>
      <c r="J6" s="218"/>
      <c r="K6" s="217"/>
      <c r="L6" s="97"/>
      <c r="M6" s="218"/>
      <c r="N6" s="217"/>
      <c r="O6" s="97"/>
      <c r="P6" s="218"/>
      <c r="Q6" s="217"/>
      <c r="R6" s="97"/>
      <c r="S6" s="218"/>
      <c r="T6" s="217"/>
      <c r="U6" s="215"/>
      <c r="V6" s="216"/>
      <c r="W6" s="97"/>
      <c r="X6" s="215"/>
      <c r="Y6" s="216"/>
    </row>
    <row r="7">
      <c r="A7" s="225" t="s">
        <v>19</v>
      </c>
      <c r="B7" s="205" t="s">
        <v>727</v>
      </c>
      <c r="C7" s="206" t="s">
        <v>732</v>
      </c>
      <c r="D7" s="207" t="s">
        <v>55</v>
      </c>
      <c r="E7" s="205" t="s">
        <v>727</v>
      </c>
      <c r="F7" s="206" t="s">
        <v>733</v>
      </c>
      <c r="G7" s="207" t="s">
        <v>734</v>
      </c>
      <c r="H7" s="208"/>
      <c r="I7" s="209"/>
      <c r="J7" s="210"/>
      <c r="K7" s="208"/>
      <c r="L7" s="209"/>
      <c r="M7" s="210"/>
      <c r="N7" s="208"/>
      <c r="O7" s="209"/>
      <c r="P7" s="210"/>
      <c r="Q7" s="208"/>
      <c r="R7" s="209"/>
      <c r="S7" s="210"/>
      <c r="T7" s="208"/>
      <c r="U7" s="209"/>
      <c r="V7" s="210"/>
      <c r="W7" s="209"/>
      <c r="X7" s="209"/>
      <c r="Y7" s="210"/>
    </row>
    <row r="8">
      <c r="A8" s="211"/>
      <c r="B8" s="208"/>
      <c r="C8" s="209"/>
      <c r="D8" s="210"/>
      <c r="E8" s="205" t="s">
        <v>727</v>
      </c>
      <c r="F8" s="206" t="s">
        <v>735</v>
      </c>
      <c r="G8" s="207" t="s">
        <v>24</v>
      </c>
      <c r="H8" s="205" t="s">
        <v>727</v>
      </c>
      <c r="I8" s="206" t="s">
        <v>736</v>
      </c>
      <c r="J8" s="207" t="s">
        <v>24</v>
      </c>
      <c r="K8" s="208"/>
      <c r="L8" s="209"/>
      <c r="M8" s="210"/>
      <c r="N8" s="205" t="s">
        <v>727</v>
      </c>
      <c r="O8" s="206" t="s">
        <v>737</v>
      </c>
      <c r="P8" s="207" t="s">
        <v>278</v>
      </c>
      <c r="Q8" s="205" t="s">
        <v>727</v>
      </c>
      <c r="R8" s="206" t="s">
        <v>738</v>
      </c>
      <c r="S8" s="207" t="s">
        <v>739</v>
      </c>
      <c r="T8" s="205" t="s">
        <v>727</v>
      </c>
      <c r="U8" s="206" t="s">
        <v>740</v>
      </c>
      <c r="V8" s="207" t="s">
        <v>595</v>
      </c>
      <c r="W8" s="209"/>
      <c r="X8" s="209"/>
      <c r="Y8" s="210"/>
    </row>
    <row r="9">
      <c r="A9" s="212"/>
      <c r="B9" s="226"/>
      <c r="C9" s="227"/>
      <c r="D9" s="228"/>
      <c r="E9" s="205" t="s">
        <v>727</v>
      </c>
      <c r="F9" s="206" t="s">
        <v>741</v>
      </c>
      <c r="G9" s="207" t="s">
        <v>38</v>
      </c>
      <c r="H9" s="205" t="s">
        <v>727</v>
      </c>
      <c r="I9" s="206" t="s">
        <v>742</v>
      </c>
      <c r="J9" s="207" t="s">
        <v>38</v>
      </c>
      <c r="K9" s="229" t="s">
        <v>743</v>
      </c>
      <c r="L9" s="206" t="s">
        <v>744</v>
      </c>
      <c r="M9" s="207" t="s">
        <v>265</v>
      </c>
      <c r="N9" s="205" t="s">
        <v>727</v>
      </c>
      <c r="O9" s="206" t="s">
        <v>745</v>
      </c>
      <c r="P9" s="207" t="s">
        <v>265</v>
      </c>
      <c r="Q9" s="205" t="s">
        <v>727</v>
      </c>
      <c r="R9" s="206" t="s">
        <v>746</v>
      </c>
      <c r="S9" s="207" t="s">
        <v>329</v>
      </c>
      <c r="T9" s="229" t="s">
        <v>743</v>
      </c>
      <c r="U9" s="235" t="s">
        <v>747</v>
      </c>
      <c r="V9" s="236" t="s">
        <v>585</v>
      </c>
      <c r="W9" s="209"/>
      <c r="X9" s="209"/>
      <c r="Y9" s="210"/>
    </row>
    <row r="10">
      <c r="A10" s="213"/>
      <c r="B10" s="214"/>
      <c r="C10" s="215"/>
      <c r="D10" s="216"/>
      <c r="E10" s="214"/>
      <c r="F10" s="215"/>
      <c r="G10" s="216"/>
      <c r="H10" s="214"/>
      <c r="I10" s="215"/>
      <c r="J10" s="216"/>
      <c r="K10" s="214"/>
      <c r="L10" s="215"/>
      <c r="M10" s="216"/>
      <c r="N10" s="214"/>
      <c r="O10" s="215"/>
      <c r="P10" s="216"/>
      <c r="Q10" s="214"/>
      <c r="R10" s="215"/>
      <c r="S10" s="216"/>
      <c r="T10" s="214"/>
      <c r="U10" s="215"/>
      <c r="V10" s="216"/>
      <c r="W10" s="215"/>
      <c r="X10" s="215"/>
      <c r="Y10" s="216"/>
    </row>
    <row r="11">
      <c r="A11" s="237" t="s">
        <v>47</v>
      </c>
      <c r="B11" s="205" t="s">
        <v>727</v>
      </c>
      <c r="C11" s="206" t="s">
        <v>748</v>
      </c>
      <c r="D11" s="207" t="s">
        <v>749</v>
      </c>
      <c r="E11" s="205" t="s">
        <v>727</v>
      </c>
      <c r="F11" s="206" t="s">
        <v>750</v>
      </c>
      <c r="G11" s="207" t="s">
        <v>56</v>
      </c>
      <c r="H11" s="208"/>
      <c r="I11" s="209"/>
      <c r="J11" s="210"/>
      <c r="K11" s="205" t="s">
        <v>727</v>
      </c>
      <c r="L11" s="206" t="s">
        <v>751</v>
      </c>
      <c r="M11" s="207" t="s">
        <v>310</v>
      </c>
      <c r="N11" s="208"/>
      <c r="O11" s="209"/>
      <c r="P11" s="210"/>
      <c r="Q11" s="208"/>
      <c r="R11" s="209"/>
      <c r="S11" s="210"/>
      <c r="T11" s="208"/>
      <c r="U11" s="209"/>
      <c r="V11" s="210"/>
      <c r="W11" s="209"/>
      <c r="X11" s="209"/>
      <c r="Y11" s="210"/>
    </row>
    <row r="12">
      <c r="A12" s="211"/>
      <c r="B12" s="208"/>
      <c r="C12" s="209"/>
      <c r="D12" s="210"/>
      <c r="E12" s="205" t="s">
        <v>727</v>
      </c>
      <c r="F12" s="206" t="s">
        <v>752</v>
      </c>
      <c r="G12" s="207" t="s">
        <v>48</v>
      </c>
      <c r="H12" s="205" t="s">
        <v>727</v>
      </c>
      <c r="I12" s="206" t="s">
        <v>753</v>
      </c>
      <c r="J12" s="207" t="s">
        <v>48</v>
      </c>
      <c r="K12" s="205" t="s">
        <v>727</v>
      </c>
      <c r="L12" s="206" t="s">
        <v>754</v>
      </c>
      <c r="M12" s="207" t="s">
        <v>288</v>
      </c>
      <c r="N12" s="208"/>
      <c r="O12" s="209"/>
      <c r="P12" s="210"/>
      <c r="Q12" s="208"/>
      <c r="R12" s="209"/>
      <c r="S12" s="210"/>
      <c r="T12" s="208"/>
      <c r="U12" s="209"/>
      <c r="V12" s="210"/>
      <c r="W12" s="209"/>
      <c r="X12" s="209"/>
      <c r="Y12" s="210"/>
    </row>
    <row r="13">
      <c r="A13" s="211"/>
      <c r="B13" s="208"/>
      <c r="C13" s="209"/>
      <c r="D13" s="210"/>
      <c r="E13" s="205" t="s">
        <v>727</v>
      </c>
      <c r="F13" s="206" t="s">
        <v>755</v>
      </c>
      <c r="G13" s="207" t="s">
        <v>64</v>
      </c>
      <c r="H13" s="205" t="s">
        <v>727</v>
      </c>
      <c r="I13" s="206" t="s">
        <v>756</v>
      </c>
      <c r="J13" s="207" t="s">
        <v>64</v>
      </c>
      <c r="K13" s="205" t="s">
        <v>727</v>
      </c>
      <c r="L13" s="206" t="s">
        <v>757</v>
      </c>
      <c r="M13" s="207" t="s">
        <v>324</v>
      </c>
      <c r="N13" s="208"/>
      <c r="O13" s="209"/>
      <c r="P13" s="210"/>
      <c r="Q13" s="208"/>
      <c r="R13" s="209"/>
      <c r="S13" s="210"/>
      <c r="T13" s="208"/>
      <c r="U13" s="209"/>
      <c r="V13" s="210"/>
      <c r="W13" s="209"/>
      <c r="X13" s="209"/>
      <c r="Y13" s="210"/>
    </row>
    <row r="14">
      <c r="A14" s="211"/>
      <c r="B14" s="208"/>
      <c r="C14" s="209"/>
      <c r="D14" s="210"/>
      <c r="E14" s="205" t="s">
        <v>727</v>
      </c>
      <c r="F14" s="206" t="s">
        <v>758</v>
      </c>
      <c r="G14" s="207" t="s">
        <v>81</v>
      </c>
      <c r="H14" s="208"/>
      <c r="I14" s="209"/>
      <c r="J14" s="210"/>
      <c r="K14" s="208"/>
      <c r="L14" s="209"/>
      <c r="M14" s="210"/>
      <c r="N14" s="208"/>
      <c r="O14" s="209"/>
      <c r="P14" s="210"/>
      <c r="Q14" s="208"/>
      <c r="R14" s="209"/>
      <c r="S14" s="210"/>
      <c r="T14" s="208"/>
      <c r="U14" s="209"/>
      <c r="V14" s="210"/>
      <c r="W14" s="209"/>
      <c r="X14" s="209"/>
      <c r="Y14" s="210"/>
    </row>
    <row r="15">
      <c r="A15" s="211"/>
      <c r="B15" s="208"/>
      <c r="C15" s="209"/>
      <c r="D15" s="210"/>
      <c r="E15" s="208"/>
      <c r="F15" s="209"/>
      <c r="G15" s="210"/>
      <c r="H15" s="238" t="s">
        <v>759</v>
      </c>
      <c r="I15" s="206" t="s">
        <v>760</v>
      </c>
      <c r="J15" s="207" t="s">
        <v>183</v>
      </c>
      <c r="K15" s="208"/>
      <c r="L15" s="209"/>
      <c r="M15" s="210"/>
      <c r="N15" s="238" t="s">
        <v>759</v>
      </c>
      <c r="O15" s="206" t="s">
        <v>761</v>
      </c>
      <c r="P15" s="207" t="s">
        <v>346</v>
      </c>
      <c r="Q15" s="208"/>
      <c r="R15" s="209"/>
      <c r="S15" s="210"/>
      <c r="T15" s="208"/>
      <c r="U15" s="209"/>
      <c r="V15" s="210"/>
      <c r="W15" s="209"/>
      <c r="X15" s="209"/>
      <c r="Y15" s="210"/>
    </row>
    <row r="16">
      <c r="A16" s="211"/>
      <c r="B16" s="208"/>
      <c r="C16" s="209"/>
      <c r="D16" s="210"/>
      <c r="E16" s="208"/>
      <c r="F16" s="209"/>
      <c r="G16" s="210"/>
      <c r="H16" s="208"/>
      <c r="I16" s="209"/>
      <c r="J16" s="210"/>
      <c r="K16" s="205" t="s">
        <v>727</v>
      </c>
      <c r="L16" s="206" t="s">
        <v>762</v>
      </c>
      <c r="M16" s="207" t="s">
        <v>369</v>
      </c>
      <c r="N16" s="205" t="s">
        <v>727</v>
      </c>
      <c r="O16" s="206" t="s">
        <v>763</v>
      </c>
      <c r="P16" s="207" t="s">
        <v>330</v>
      </c>
      <c r="Q16" s="208"/>
      <c r="R16" s="209"/>
      <c r="S16" s="210"/>
      <c r="T16" s="208"/>
      <c r="U16" s="209"/>
      <c r="V16" s="210"/>
      <c r="W16" s="209"/>
      <c r="X16" s="209"/>
      <c r="Y16" s="210"/>
    </row>
    <row r="17">
      <c r="A17" s="211"/>
      <c r="B17" s="208"/>
      <c r="C17" s="209"/>
      <c r="D17" s="210"/>
      <c r="E17" s="208"/>
      <c r="F17" s="209"/>
      <c r="G17" s="210"/>
      <c r="H17" s="208"/>
      <c r="I17" s="209"/>
      <c r="J17" s="210"/>
      <c r="K17" s="208"/>
      <c r="L17" s="209"/>
      <c r="M17" s="210"/>
      <c r="N17" s="229" t="s">
        <v>743</v>
      </c>
      <c r="O17" s="206" t="s">
        <v>764</v>
      </c>
      <c r="P17" s="207" t="s">
        <v>350</v>
      </c>
      <c r="Q17" s="229" t="s">
        <v>743</v>
      </c>
      <c r="R17" s="206" t="s">
        <v>765</v>
      </c>
      <c r="S17" s="207" t="s">
        <v>766</v>
      </c>
      <c r="T17" s="208"/>
      <c r="U17" s="209"/>
      <c r="V17" s="210"/>
      <c r="W17" s="209"/>
      <c r="X17" s="209"/>
      <c r="Y17" s="210"/>
    </row>
    <row r="18">
      <c r="A18" s="211"/>
      <c r="B18" s="208"/>
      <c r="C18" s="209"/>
      <c r="D18" s="210"/>
      <c r="E18" s="208"/>
      <c r="F18" s="209"/>
      <c r="G18" s="210"/>
      <c r="H18" s="208"/>
      <c r="I18" s="209"/>
      <c r="J18" s="210"/>
      <c r="K18" s="208"/>
      <c r="L18" s="209"/>
      <c r="M18" s="210"/>
      <c r="N18" s="208"/>
      <c r="O18" s="209"/>
      <c r="P18" s="210"/>
      <c r="Q18" s="229" t="s">
        <v>743</v>
      </c>
      <c r="R18" s="206" t="s">
        <v>767</v>
      </c>
      <c r="S18" s="207" t="s">
        <v>768</v>
      </c>
      <c r="T18" s="205" t="s">
        <v>727</v>
      </c>
      <c r="U18" s="206" t="s">
        <v>769</v>
      </c>
      <c r="V18" s="207" t="s">
        <v>622</v>
      </c>
      <c r="W18" s="205"/>
      <c r="X18" s="239" t="s">
        <v>770</v>
      </c>
      <c r="Y18" s="207" t="s">
        <v>771</v>
      </c>
    </row>
    <row r="19">
      <c r="A19" s="211"/>
      <c r="B19" s="208"/>
      <c r="C19" s="209"/>
      <c r="D19" s="210"/>
      <c r="E19" s="208"/>
      <c r="F19" s="209"/>
      <c r="G19" s="210"/>
      <c r="H19" s="208"/>
      <c r="I19" s="209"/>
      <c r="J19" s="210"/>
      <c r="K19" s="208"/>
      <c r="L19" s="209"/>
      <c r="M19" s="210"/>
      <c r="N19" s="208"/>
      <c r="O19" s="209"/>
      <c r="P19" s="210"/>
      <c r="Q19" s="208"/>
      <c r="R19" s="209"/>
      <c r="S19" s="210"/>
      <c r="T19" s="205" t="s">
        <v>727</v>
      </c>
      <c r="U19" s="206" t="s">
        <v>772</v>
      </c>
      <c r="V19" s="207" t="s">
        <v>639</v>
      </c>
      <c r="W19" s="205"/>
      <c r="X19" s="239" t="s">
        <v>773</v>
      </c>
      <c r="Y19" s="207" t="s">
        <v>774</v>
      </c>
    </row>
    <row r="20">
      <c r="A20" s="212"/>
      <c r="B20" s="208"/>
      <c r="C20" s="209"/>
      <c r="D20" s="210"/>
      <c r="E20" s="208"/>
      <c r="F20" s="209"/>
      <c r="G20" s="210"/>
      <c r="H20" s="208"/>
      <c r="I20" s="209"/>
      <c r="J20" s="210"/>
      <c r="K20" s="208"/>
      <c r="L20" s="209"/>
      <c r="M20" s="210"/>
      <c r="N20" s="208"/>
      <c r="O20" s="209"/>
      <c r="P20" s="210"/>
      <c r="Q20" s="208"/>
      <c r="R20" s="209"/>
      <c r="S20" s="210"/>
      <c r="T20" s="205" t="s">
        <v>727</v>
      </c>
      <c r="U20" s="206" t="s">
        <v>775</v>
      </c>
      <c r="V20" s="207" t="s">
        <v>650</v>
      </c>
      <c r="W20" s="209"/>
      <c r="X20" s="209"/>
      <c r="Y20" s="210"/>
    </row>
    <row r="21">
      <c r="A21" s="213"/>
      <c r="B21" s="214"/>
      <c r="C21" s="215"/>
      <c r="D21" s="216"/>
      <c r="E21" s="214"/>
      <c r="F21" s="215"/>
      <c r="G21" s="216"/>
      <c r="H21" s="214"/>
      <c r="I21" s="215"/>
      <c r="J21" s="216"/>
      <c r="K21" s="214"/>
      <c r="L21" s="215"/>
      <c r="M21" s="216"/>
      <c r="N21" s="214"/>
      <c r="O21" s="215"/>
      <c r="P21" s="216"/>
      <c r="Q21" s="214"/>
      <c r="R21" s="215"/>
      <c r="S21" s="216"/>
      <c r="T21" s="214"/>
      <c r="U21" s="215"/>
      <c r="V21" s="216"/>
      <c r="W21" s="215"/>
      <c r="X21" s="215"/>
      <c r="Y21" s="216"/>
    </row>
    <row r="22">
      <c r="A22" s="242" t="s">
        <v>90</v>
      </c>
      <c r="B22" s="229" t="s">
        <v>743</v>
      </c>
      <c r="C22" s="206" t="s">
        <v>776</v>
      </c>
      <c r="D22" s="207" t="s">
        <v>99</v>
      </c>
      <c r="E22" s="208"/>
      <c r="F22" s="209"/>
      <c r="G22" s="210"/>
      <c r="H22" s="208"/>
      <c r="I22" s="209"/>
      <c r="J22" s="210"/>
      <c r="K22" s="208"/>
      <c r="L22" s="209"/>
      <c r="M22" s="210"/>
      <c r="N22" s="208"/>
      <c r="O22" s="209"/>
      <c r="P22" s="210"/>
      <c r="Q22" s="208"/>
      <c r="R22" s="209"/>
      <c r="S22" s="210"/>
      <c r="T22" s="208"/>
      <c r="U22" s="209"/>
      <c r="V22" s="210"/>
      <c r="W22" s="209"/>
      <c r="X22" s="209"/>
      <c r="Y22" s="210"/>
    </row>
    <row r="23">
      <c r="A23" s="211"/>
      <c r="B23" s="238" t="s">
        <v>759</v>
      </c>
      <c r="C23" s="206" t="s">
        <v>777</v>
      </c>
      <c r="D23" s="207" t="s">
        <v>128</v>
      </c>
      <c r="E23" s="238" t="s">
        <v>759</v>
      </c>
      <c r="F23" s="206" t="s">
        <v>778</v>
      </c>
      <c r="G23" s="207" t="s">
        <v>95</v>
      </c>
      <c r="H23" s="229" t="s">
        <v>743</v>
      </c>
      <c r="I23" s="206" t="s">
        <v>779</v>
      </c>
      <c r="J23" s="243" t="s">
        <v>95</v>
      </c>
      <c r="K23" s="238" t="s">
        <v>759</v>
      </c>
      <c r="L23" s="206" t="s">
        <v>780</v>
      </c>
      <c r="M23" s="207" t="s">
        <v>95</v>
      </c>
      <c r="N23" s="229" t="s">
        <v>743</v>
      </c>
      <c r="O23" s="206" t="s">
        <v>781</v>
      </c>
      <c r="P23" s="207" t="s">
        <v>782</v>
      </c>
      <c r="Q23" s="229" t="s">
        <v>743</v>
      </c>
      <c r="R23" s="206" t="s">
        <v>783</v>
      </c>
      <c r="S23" s="207" t="s">
        <v>396</v>
      </c>
      <c r="T23" s="208"/>
      <c r="U23" s="209"/>
      <c r="V23" s="210"/>
      <c r="W23" s="229"/>
      <c r="X23" s="239" t="s">
        <v>784</v>
      </c>
      <c r="Y23" s="207" t="s">
        <v>785</v>
      </c>
    </row>
    <row r="24">
      <c r="A24" s="211"/>
      <c r="B24" s="208"/>
      <c r="C24" s="209"/>
      <c r="D24" s="210"/>
      <c r="E24" s="208"/>
      <c r="F24" s="209"/>
      <c r="G24" s="210"/>
      <c r="H24" s="208"/>
      <c r="I24" s="209"/>
      <c r="J24" s="210"/>
      <c r="K24" s="208"/>
      <c r="L24" s="209"/>
      <c r="M24" s="210"/>
      <c r="N24" s="208"/>
      <c r="O24" s="209"/>
      <c r="P24" s="210"/>
      <c r="Q24" s="229" t="s">
        <v>743</v>
      </c>
      <c r="R24" s="206" t="s">
        <v>786</v>
      </c>
      <c r="S24" s="207" t="s">
        <v>379</v>
      </c>
      <c r="T24" s="208"/>
      <c r="U24" s="209"/>
      <c r="V24" s="210"/>
      <c r="W24" s="209"/>
      <c r="X24" s="209"/>
      <c r="Y24" s="210"/>
    </row>
    <row r="25">
      <c r="A25" s="212"/>
      <c r="B25" s="208"/>
      <c r="C25" s="209"/>
      <c r="D25" s="210"/>
      <c r="E25" s="208"/>
      <c r="F25" s="209"/>
      <c r="G25" s="210"/>
      <c r="H25" s="208"/>
      <c r="I25" s="209"/>
      <c r="J25" s="210"/>
      <c r="K25" s="208"/>
      <c r="L25" s="209"/>
      <c r="M25" s="210"/>
      <c r="N25" s="208"/>
      <c r="O25" s="209"/>
      <c r="P25" s="210"/>
      <c r="Q25" s="208"/>
      <c r="R25" s="209"/>
      <c r="S25" s="210"/>
      <c r="T25" s="238" t="s">
        <v>759</v>
      </c>
      <c r="U25" s="206" t="s">
        <v>787</v>
      </c>
      <c r="V25" s="207" t="s">
        <v>654</v>
      </c>
      <c r="W25" s="229"/>
      <c r="X25" s="239" t="s">
        <v>788</v>
      </c>
      <c r="Y25" s="207" t="s">
        <v>789</v>
      </c>
    </row>
    <row r="26">
      <c r="A26" s="213"/>
      <c r="B26" s="214"/>
      <c r="C26" s="215"/>
      <c r="D26" s="216"/>
      <c r="E26" s="214"/>
      <c r="F26" s="215"/>
      <c r="G26" s="216"/>
      <c r="H26" s="214"/>
      <c r="I26" s="215"/>
      <c r="J26" s="216"/>
      <c r="K26" s="214"/>
      <c r="L26" s="215"/>
      <c r="M26" s="216"/>
      <c r="N26" s="214"/>
      <c r="O26" s="215"/>
      <c r="P26" s="216"/>
      <c r="Q26" s="214"/>
      <c r="R26" s="215"/>
      <c r="S26" s="216"/>
      <c r="T26" s="214"/>
      <c r="U26" s="215"/>
      <c r="V26" s="216"/>
      <c r="W26" s="215"/>
      <c r="X26" s="215"/>
      <c r="Y26" s="216"/>
    </row>
    <row r="27">
      <c r="A27" s="244" t="s">
        <v>124</v>
      </c>
      <c r="B27" s="229" t="s">
        <v>743</v>
      </c>
      <c r="C27" s="206" t="s">
        <v>790</v>
      </c>
      <c r="D27" s="207" t="s">
        <v>791</v>
      </c>
      <c r="E27" s="208"/>
      <c r="F27" s="209"/>
      <c r="G27" s="210"/>
      <c r="H27" s="208"/>
      <c r="I27" s="209"/>
      <c r="J27" s="210"/>
      <c r="K27" s="208"/>
      <c r="L27" s="209"/>
      <c r="M27" s="210"/>
      <c r="N27" s="208"/>
      <c r="O27" s="209"/>
      <c r="P27" s="210"/>
      <c r="Q27" s="208"/>
      <c r="R27" s="209"/>
      <c r="S27" s="210"/>
      <c r="T27" s="208"/>
      <c r="U27" s="209"/>
      <c r="V27" s="210"/>
      <c r="W27" s="209"/>
      <c r="X27" s="209"/>
      <c r="Y27" s="210"/>
    </row>
    <row r="28">
      <c r="A28" s="211"/>
      <c r="B28" s="238" t="s">
        <v>759</v>
      </c>
      <c r="C28" s="206" t="s">
        <v>792</v>
      </c>
      <c r="D28" s="207" t="s">
        <v>793</v>
      </c>
      <c r="E28" s="208"/>
      <c r="F28" s="209"/>
      <c r="G28" s="210"/>
      <c r="H28" s="208"/>
      <c r="I28" s="209"/>
      <c r="J28" s="210"/>
      <c r="K28" s="208"/>
      <c r="L28" s="209"/>
      <c r="M28" s="210"/>
      <c r="N28" s="208"/>
      <c r="O28" s="209"/>
      <c r="P28" s="210"/>
      <c r="Q28" s="208"/>
      <c r="R28" s="209"/>
      <c r="S28" s="210"/>
      <c r="T28" s="208"/>
      <c r="U28" s="209"/>
      <c r="V28" s="210"/>
      <c r="W28" s="209"/>
      <c r="X28" s="209"/>
      <c r="Y28" s="210"/>
    </row>
    <row r="29">
      <c r="A29" s="211"/>
      <c r="B29" s="208"/>
      <c r="C29" s="209"/>
      <c r="D29" s="210"/>
      <c r="E29" s="205" t="s">
        <v>727</v>
      </c>
      <c r="F29" s="206" t="s">
        <v>794</v>
      </c>
      <c r="G29" s="207" t="s">
        <v>127</v>
      </c>
      <c r="H29" s="205" t="s">
        <v>727</v>
      </c>
      <c r="I29" s="206" t="s">
        <v>795</v>
      </c>
      <c r="J29" s="207" t="s">
        <v>217</v>
      </c>
      <c r="K29" s="208"/>
      <c r="L29" s="209"/>
      <c r="M29" s="210"/>
      <c r="N29" s="208"/>
      <c r="O29" s="209"/>
      <c r="P29" s="210"/>
      <c r="Q29" s="208"/>
      <c r="R29" s="209"/>
      <c r="S29" s="210"/>
      <c r="T29" s="208"/>
      <c r="U29" s="209"/>
      <c r="V29" s="210"/>
      <c r="W29" s="209"/>
      <c r="X29" s="209"/>
      <c r="Y29" s="210"/>
    </row>
    <row r="30">
      <c r="A30" s="211"/>
      <c r="B30" s="208"/>
      <c r="C30" s="209"/>
      <c r="D30" s="210"/>
      <c r="E30" s="229" t="s">
        <v>743</v>
      </c>
      <c r="F30" s="206" t="s">
        <v>796</v>
      </c>
      <c r="G30" s="207" t="s">
        <v>147</v>
      </c>
      <c r="H30" s="238" t="s">
        <v>759</v>
      </c>
      <c r="I30" s="206" t="s">
        <v>797</v>
      </c>
      <c r="J30" s="207" t="s">
        <v>252</v>
      </c>
      <c r="K30" s="208"/>
      <c r="L30" s="209"/>
      <c r="M30" s="210"/>
      <c r="N30" s="208"/>
      <c r="O30" s="209"/>
      <c r="P30" s="210"/>
      <c r="Q30" s="208"/>
      <c r="R30" s="209"/>
      <c r="S30" s="210"/>
      <c r="T30" s="208"/>
      <c r="U30" s="209"/>
      <c r="V30" s="210"/>
      <c r="W30" s="209"/>
      <c r="X30" s="209"/>
      <c r="Y30" s="210"/>
    </row>
    <row r="31">
      <c r="A31" s="211"/>
      <c r="B31" s="208"/>
      <c r="C31" s="209"/>
      <c r="D31" s="210"/>
      <c r="E31" s="238" t="s">
        <v>759</v>
      </c>
      <c r="F31" s="206" t="s">
        <v>798</v>
      </c>
      <c r="G31" s="207" t="s">
        <v>157</v>
      </c>
      <c r="H31" s="238" t="s">
        <v>759</v>
      </c>
      <c r="I31" s="206" t="s">
        <v>799</v>
      </c>
      <c r="J31" s="207" t="s">
        <v>157</v>
      </c>
      <c r="K31" s="238" t="s">
        <v>759</v>
      </c>
      <c r="L31" s="206" t="s">
        <v>800</v>
      </c>
      <c r="M31" s="207" t="s">
        <v>157</v>
      </c>
      <c r="N31" s="238" t="s">
        <v>759</v>
      </c>
      <c r="O31" s="206" t="s">
        <v>801</v>
      </c>
      <c r="P31" s="207" t="s">
        <v>157</v>
      </c>
      <c r="Q31" s="238" t="s">
        <v>759</v>
      </c>
      <c r="R31" s="206" t="s">
        <v>802</v>
      </c>
      <c r="S31" s="207" t="s">
        <v>157</v>
      </c>
      <c r="T31" s="229" t="s">
        <v>743</v>
      </c>
      <c r="U31" s="206" t="s">
        <v>803</v>
      </c>
      <c r="V31" s="207" t="s">
        <v>699</v>
      </c>
      <c r="W31" s="209"/>
      <c r="X31" s="209"/>
      <c r="Y31" s="210"/>
    </row>
    <row r="32">
      <c r="A32" s="211"/>
      <c r="B32" s="208"/>
      <c r="C32" s="209"/>
      <c r="D32" s="210"/>
      <c r="E32" s="208"/>
      <c r="F32" s="209"/>
      <c r="G32" s="210"/>
      <c r="H32" s="205" t="s">
        <v>727</v>
      </c>
      <c r="I32" s="206" t="s">
        <v>804</v>
      </c>
      <c r="J32" s="207" t="s">
        <v>244</v>
      </c>
      <c r="K32" s="205" t="s">
        <v>727</v>
      </c>
      <c r="L32" s="206" t="s">
        <v>805</v>
      </c>
      <c r="M32" s="207" t="s">
        <v>436</v>
      </c>
      <c r="N32" s="208"/>
      <c r="O32" s="209"/>
      <c r="P32" s="210"/>
      <c r="Q32" s="208"/>
      <c r="R32" s="209"/>
      <c r="S32" s="210"/>
      <c r="T32" s="208"/>
      <c r="U32" s="209"/>
      <c r="V32" s="210"/>
      <c r="W32" s="209"/>
      <c r="X32" s="209"/>
      <c r="Y32" s="210"/>
    </row>
    <row r="33">
      <c r="A33" s="211"/>
      <c r="B33" s="208"/>
      <c r="C33" s="209"/>
      <c r="D33" s="210"/>
      <c r="E33" s="208"/>
      <c r="F33" s="209"/>
      <c r="G33" s="210"/>
      <c r="H33" s="208"/>
      <c r="I33" s="209"/>
      <c r="J33" s="210"/>
      <c r="K33" s="205" t="s">
        <v>727</v>
      </c>
      <c r="L33" s="206" t="s">
        <v>806</v>
      </c>
      <c r="M33" s="207" t="s">
        <v>807</v>
      </c>
      <c r="N33" s="208"/>
      <c r="O33" s="209"/>
      <c r="P33" s="210"/>
      <c r="Q33" s="205" t="s">
        <v>727</v>
      </c>
      <c r="R33" s="206" t="s">
        <v>808</v>
      </c>
      <c r="S33" s="207" t="s">
        <v>809</v>
      </c>
      <c r="T33" s="208"/>
      <c r="U33" s="209"/>
      <c r="V33" s="210"/>
      <c r="W33" s="209"/>
      <c r="X33" s="209"/>
      <c r="Y33" s="210"/>
    </row>
    <row r="34">
      <c r="A34" s="211"/>
      <c r="B34" s="208"/>
      <c r="C34" s="209"/>
      <c r="D34" s="210"/>
      <c r="E34" s="208"/>
      <c r="F34" s="209"/>
      <c r="G34" s="210"/>
      <c r="H34" s="208"/>
      <c r="I34" s="209"/>
      <c r="J34" s="210"/>
      <c r="K34" s="229" t="s">
        <v>743</v>
      </c>
      <c r="L34" s="206" t="s">
        <v>810</v>
      </c>
      <c r="M34" s="207" t="s">
        <v>811</v>
      </c>
      <c r="N34" s="229" t="s">
        <v>743</v>
      </c>
      <c r="O34" s="206" t="s">
        <v>812</v>
      </c>
      <c r="P34" s="207" t="s">
        <v>419</v>
      </c>
      <c r="Q34" s="208"/>
      <c r="R34" s="209"/>
      <c r="S34" s="210"/>
      <c r="T34" s="208"/>
      <c r="U34" s="209"/>
      <c r="V34" s="210"/>
      <c r="W34" s="209"/>
      <c r="X34" s="209"/>
      <c r="Y34" s="210"/>
    </row>
    <row r="35">
      <c r="A35" s="211"/>
      <c r="B35" s="208"/>
      <c r="C35" s="209"/>
      <c r="D35" s="210"/>
      <c r="E35" s="208"/>
      <c r="F35" s="209"/>
      <c r="G35" s="210"/>
      <c r="H35" s="208"/>
      <c r="I35" s="209"/>
      <c r="J35" s="210"/>
      <c r="K35" s="208"/>
      <c r="L35" s="209"/>
      <c r="M35" s="210"/>
      <c r="N35" s="238" t="s">
        <v>759</v>
      </c>
      <c r="O35" s="206" t="s">
        <v>813</v>
      </c>
      <c r="P35" s="207" t="s">
        <v>814</v>
      </c>
      <c r="Q35" s="238" t="s">
        <v>759</v>
      </c>
      <c r="R35" s="206" t="s">
        <v>815</v>
      </c>
      <c r="S35" s="207" t="s">
        <v>415</v>
      </c>
      <c r="T35" s="208"/>
      <c r="U35" s="209"/>
      <c r="V35" s="210"/>
      <c r="W35" s="209"/>
      <c r="X35" s="209"/>
      <c r="Y35" s="210"/>
    </row>
    <row r="36">
      <c r="A36" s="212"/>
      <c r="B36" s="208"/>
      <c r="C36" s="209"/>
      <c r="D36" s="210"/>
      <c r="E36" s="208"/>
      <c r="F36" s="209"/>
      <c r="G36" s="210"/>
      <c r="H36" s="208"/>
      <c r="I36" s="209"/>
      <c r="J36" s="210"/>
      <c r="K36" s="208"/>
      <c r="L36" s="209"/>
      <c r="M36" s="210"/>
      <c r="N36" s="208"/>
      <c r="O36" s="209"/>
      <c r="P36" s="210"/>
      <c r="Q36" s="208"/>
      <c r="R36" s="209"/>
      <c r="S36" s="210"/>
      <c r="T36" s="208"/>
      <c r="U36" s="209"/>
      <c r="V36" s="210"/>
      <c r="W36" s="209"/>
      <c r="X36" s="209"/>
      <c r="Y36" s="210"/>
    </row>
    <row r="37">
      <c r="A37" s="213"/>
      <c r="B37" s="214"/>
      <c r="C37" s="215"/>
      <c r="D37" s="216"/>
      <c r="E37" s="214"/>
      <c r="F37" s="215"/>
      <c r="G37" s="216"/>
      <c r="H37" s="214"/>
      <c r="I37" s="215"/>
      <c r="J37" s="216"/>
      <c r="K37" s="214"/>
      <c r="L37" s="215"/>
      <c r="M37" s="216"/>
      <c r="N37" s="214"/>
      <c r="O37" s="215"/>
      <c r="P37" s="216"/>
      <c r="Q37" s="214"/>
      <c r="R37" s="215"/>
      <c r="S37" s="216"/>
      <c r="T37" s="214"/>
      <c r="U37" s="215"/>
      <c r="V37" s="216"/>
      <c r="W37" s="215"/>
      <c r="X37" s="215"/>
      <c r="Y37" s="216"/>
    </row>
    <row r="38">
      <c r="A38" s="245" t="s">
        <v>458</v>
      </c>
      <c r="B38" s="208"/>
      <c r="C38" s="209"/>
      <c r="D38" s="210"/>
      <c r="E38" s="208"/>
      <c r="F38" s="209"/>
      <c r="G38" s="210"/>
      <c r="H38" s="208"/>
      <c r="I38" s="227"/>
      <c r="J38" s="210"/>
      <c r="K38" s="205" t="s">
        <v>727</v>
      </c>
      <c r="L38" s="206" t="s">
        <v>816</v>
      </c>
      <c r="M38" s="207" t="s">
        <v>495</v>
      </c>
      <c r="N38" s="205" t="s">
        <v>727</v>
      </c>
      <c r="O38" s="206" t="s">
        <v>817</v>
      </c>
      <c r="P38" s="207" t="s">
        <v>465</v>
      </c>
      <c r="Q38" s="208"/>
      <c r="R38" s="209"/>
      <c r="S38" s="210"/>
      <c r="T38" s="208"/>
      <c r="U38" s="209"/>
      <c r="V38" s="210"/>
      <c r="W38" s="209"/>
      <c r="X38" s="209"/>
      <c r="Y38" s="210"/>
    </row>
    <row r="39">
      <c r="A39" s="211"/>
      <c r="B39" s="208"/>
      <c r="C39" s="209"/>
      <c r="D39" s="210"/>
      <c r="E39" s="208"/>
      <c r="F39" s="209"/>
      <c r="G39" s="210"/>
      <c r="H39" s="208"/>
      <c r="I39" s="246"/>
      <c r="J39" s="210"/>
      <c r="K39" s="208"/>
      <c r="L39" s="209"/>
      <c r="M39" s="210"/>
      <c r="N39" s="205" t="s">
        <v>727</v>
      </c>
      <c r="O39" s="206" t="s">
        <v>818</v>
      </c>
      <c r="P39" s="207" t="s">
        <v>819</v>
      </c>
      <c r="Q39" s="205" t="s">
        <v>727</v>
      </c>
      <c r="R39" s="206" t="s">
        <v>820</v>
      </c>
      <c r="S39" s="207" t="s">
        <v>496</v>
      </c>
      <c r="T39" s="208"/>
      <c r="U39" s="209"/>
      <c r="V39" s="210"/>
      <c r="W39" s="209"/>
      <c r="X39" s="209"/>
      <c r="Y39" s="210"/>
    </row>
    <row r="40">
      <c r="A40" s="211"/>
      <c r="B40" s="208"/>
      <c r="C40" s="209"/>
      <c r="D40" s="210"/>
      <c r="E40" s="208"/>
      <c r="F40" s="209"/>
      <c r="G40" s="210"/>
      <c r="H40" s="208"/>
      <c r="I40" s="246"/>
      <c r="J40" s="210"/>
      <c r="K40" s="208"/>
      <c r="L40" s="209"/>
      <c r="M40" s="210"/>
      <c r="N40" s="205" t="s">
        <v>727</v>
      </c>
      <c r="O40" s="206" t="s">
        <v>821</v>
      </c>
      <c r="P40" s="207" t="s">
        <v>536</v>
      </c>
      <c r="Q40" s="208"/>
      <c r="R40" s="209"/>
      <c r="S40" s="210"/>
      <c r="T40" s="208"/>
      <c r="U40" s="209"/>
      <c r="V40" s="210"/>
      <c r="W40" s="209"/>
      <c r="X40" s="209"/>
      <c r="Y40" s="210"/>
    </row>
    <row r="41">
      <c r="A41" s="212"/>
      <c r="B41" s="208"/>
      <c r="C41" s="209"/>
      <c r="D41" s="210"/>
      <c r="E41" s="208"/>
      <c r="F41" s="209"/>
      <c r="G41" s="210"/>
      <c r="H41" s="208"/>
      <c r="I41" s="247"/>
      <c r="J41" s="210"/>
      <c r="K41" s="208"/>
      <c r="L41" s="209"/>
      <c r="M41" s="210"/>
      <c r="N41" s="208"/>
      <c r="O41" s="209"/>
      <c r="P41" s="210"/>
      <c r="Q41" s="205" t="s">
        <v>727</v>
      </c>
      <c r="R41" s="206" t="s">
        <v>822</v>
      </c>
      <c r="S41" s="207" t="s">
        <v>823</v>
      </c>
      <c r="T41" s="205" t="s">
        <v>727</v>
      </c>
      <c r="U41" s="206" t="s">
        <v>824</v>
      </c>
      <c r="V41" s="207" t="s">
        <v>580</v>
      </c>
      <c r="W41" s="205"/>
      <c r="X41" s="239" t="s">
        <v>825</v>
      </c>
      <c r="Y41" s="207" t="s">
        <v>826</v>
      </c>
    </row>
    <row r="42">
      <c r="A42" s="248"/>
      <c r="B42" s="214"/>
      <c r="C42" s="215"/>
      <c r="D42" s="216"/>
      <c r="E42" s="214"/>
      <c r="F42" s="215"/>
      <c r="G42" s="216"/>
      <c r="H42" s="214"/>
      <c r="I42" s="215"/>
      <c r="J42" s="216"/>
      <c r="K42" s="214"/>
      <c r="L42" s="215"/>
      <c r="M42" s="216"/>
      <c r="N42" s="214"/>
      <c r="O42" s="215"/>
      <c r="P42" s="216"/>
      <c r="Q42" s="214"/>
      <c r="R42" s="215"/>
      <c r="S42" s="216"/>
      <c r="T42" s="217"/>
      <c r="U42" s="97"/>
      <c r="V42" s="218"/>
      <c r="W42" s="97"/>
      <c r="X42" s="97"/>
      <c r="Y42" s="218"/>
    </row>
    <row r="43">
      <c r="A43" s="249" t="s">
        <v>827</v>
      </c>
      <c r="B43" s="208"/>
      <c r="C43" s="209"/>
      <c r="D43" s="210"/>
      <c r="E43" s="208"/>
      <c r="F43" s="209"/>
      <c r="G43" s="210"/>
      <c r="H43" s="208"/>
      <c r="I43" s="209"/>
      <c r="J43" s="210"/>
      <c r="K43" s="208"/>
      <c r="L43" s="209"/>
      <c r="M43" s="210"/>
      <c r="N43" s="208"/>
      <c r="O43" s="209"/>
      <c r="P43" s="210"/>
      <c r="Q43" s="208"/>
      <c r="R43" s="209"/>
      <c r="S43" s="210"/>
      <c r="T43" s="250" t="s">
        <v>727</v>
      </c>
      <c r="U43" s="251" t="s">
        <v>828</v>
      </c>
      <c r="V43" s="236" t="s">
        <v>667</v>
      </c>
      <c r="W43" s="250" t="s">
        <v>727</v>
      </c>
      <c r="X43" s="251" t="s">
        <v>829</v>
      </c>
      <c r="Y43" s="236" t="s">
        <v>830</v>
      </c>
    </row>
    <row r="44">
      <c r="A44" s="248"/>
      <c r="B44" s="214"/>
      <c r="C44" s="215"/>
      <c r="D44" s="216"/>
      <c r="E44" s="214"/>
      <c r="F44" s="215"/>
      <c r="G44" s="216"/>
      <c r="H44" s="214"/>
      <c r="I44" s="215"/>
      <c r="J44" s="216"/>
      <c r="K44" s="214"/>
      <c r="L44" s="215"/>
      <c r="M44" s="216"/>
      <c r="N44" s="214"/>
      <c r="O44" s="215"/>
      <c r="P44" s="216"/>
      <c r="Q44" s="214"/>
      <c r="R44" s="215"/>
      <c r="S44" s="216"/>
      <c r="T44" s="217"/>
      <c r="U44" s="97"/>
      <c r="V44" s="218"/>
      <c r="W44" s="97"/>
      <c r="X44" s="97"/>
      <c r="Y44" s="218"/>
    </row>
    <row r="45">
      <c r="A45" s="252" t="s">
        <v>686</v>
      </c>
      <c r="B45" s="208"/>
      <c r="C45" s="209"/>
      <c r="D45" s="210"/>
      <c r="E45" s="208"/>
      <c r="F45" s="209"/>
      <c r="G45" s="210"/>
      <c r="H45" s="208"/>
      <c r="I45" s="209"/>
      <c r="J45" s="210"/>
      <c r="K45" s="208"/>
      <c r="L45" s="209"/>
      <c r="M45" s="210"/>
      <c r="N45" s="208"/>
      <c r="O45" s="209"/>
      <c r="P45" s="210"/>
      <c r="Q45" s="208"/>
      <c r="R45" s="209"/>
      <c r="S45" s="210"/>
      <c r="T45" s="253" t="s">
        <v>743</v>
      </c>
      <c r="U45" s="251" t="s">
        <v>831</v>
      </c>
      <c r="V45" s="236" t="s">
        <v>688</v>
      </c>
      <c r="W45" s="238"/>
      <c r="X45" s="206" t="s">
        <v>832</v>
      </c>
      <c r="Y45" s="207" t="s">
        <v>833</v>
      </c>
    </row>
    <row r="46">
      <c r="A46" s="211"/>
      <c r="B46" s="208"/>
      <c r="C46" s="209"/>
      <c r="D46" s="210"/>
      <c r="E46" s="208"/>
      <c r="F46" s="209"/>
      <c r="G46" s="210"/>
      <c r="H46" s="208"/>
      <c r="I46" s="209"/>
      <c r="J46" s="210"/>
      <c r="K46" s="208"/>
      <c r="L46" s="209"/>
      <c r="M46" s="210"/>
      <c r="N46" s="208"/>
      <c r="O46" s="209"/>
      <c r="P46" s="210"/>
      <c r="Q46" s="208"/>
      <c r="R46" s="209"/>
      <c r="S46" s="210"/>
      <c r="T46" s="208"/>
      <c r="U46" s="209"/>
      <c r="V46" s="210"/>
      <c r="W46" s="253"/>
      <c r="X46" s="251" t="s">
        <v>834</v>
      </c>
      <c r="Y46" s="236" t="s">
        <v>835</v>
      </c>
    </row>
    <row r="47">
      <c r="A47" s="212"/>
      <c r="B47" s="208"/>
      <c r="C47" s="209"/>
      <c r="D47" s="210"/>
      <c r="E47" s="208"/>
      <c r="F47" s="209"/>
      <c r="G47" s="210"/>
      <c r="H47" s="208"/>
      <c r="I47" s="209"/>
      <c r="J47" s="210"/>
      <c r="K47" s="208"/>
      <c r="L47" s="209"/>
      <c r="M47" s="210"/>
      <c r="N47" s="208"/>
      <c r="O47" s="209"/>
      <c r="P47" s="210"/>
      <c r="Q47" s="208"/>
      <c r="R47" s="209"/>
      <c r="S47" s="210"/>
      <c r="T47" s="208"/>
      <c r="U47" s="209"/>
      <c r="V47" s="210"/>
      <c r="W47" s="238"/>
      <c r="X47" s="206" t="s">
        <v>836</v>
      </c>
      <c r="Y47" s="207" t="s">
        <v>837</v>
      </c>
    </row>
  </sheetData>
  <mergeCells count="19">
    <mergeCell ref="N2:P2"/>
    <mergeCell ref="Q2:S2"/>
    <mergeCell ref="T2:V2"/>
    <mergeCell ref="W2:Y2"/>
    <mergeCell ref="A3:A5"/>
    <mergeCell ref="A7:A9"/>
    <mergeCell ref="A11:A20"/>
    <mergeCell ref="A22:A25"/>
    <mergeCell ref="A27:A36"/>
    <mergeCell ref="A38:A41"/>
    <mergeCell ref="I38:I41"/>
    <mergeCell ref="A45:A47"/>
    <mergeCell ref="C1:D1"/>
    <mergeCell ref="F1:G1"/>
    <mergeCell ref="I1:J1"/>
    <mergeCell ref="B2:D2"/>
    <mergeCell ref="E2:G2"/>
    <mergeCell ref="H2:J2"/>
    <mergeCell ref="K2:M2"/>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4CCCC"/>
    <outlinePr summaryBelow="0" summaryRight="0"/>
  </sheetPr>
  <sheetViews>
    <sheetView workbookViewId="0">
      <pane ySplit="4.0" topLeftCell="A5" activePane="bottomLeft" state="frozen"/>
      <selection activeCell="B6" sqref="B6" pane="bottomLeft"/>
    </sheetView>
  </sheetViews>
  <sheetFormatPr customHeight="1" defaultColWidth="14.43" defaultRowHeight="15.75" outlineLevelCol="1" outlineLevelRow="1"/>
  <cols>
    <col customWidth="1" min="1" max="1" width="5.71"/>
    <col customWidth="1" min="2" max="2" width="15.86"/>
    <col customWidth="1" min="3" max="3" width="5.14"/>
    <col customWidth="1" min="4" max="4" width="10.0"/>
    <col customWidth="1" min="5" max="5" width="57.29"/>
    <col customWidth="1" min="6" max="9" width="3.0"/>
    <col customWidth="1" min="10" max="10" width="0.43"/>
    <col customWidth="1" min="11" max="11" width="44.86"/>
    <col collapsed="1" customWidth="1" min="12" max="12" width="7.29"/>
    <col hidden="1" min="13" max="21" width="14.43" outlineLevel="1"/>
  </cols>
  <sheetData>
    <row r="1" ht="4.5" customHeight="1">
      <c r="A1" s="3"/>
      <c r="B1" s="7"/>
      <c r="C1" s="7"/>
      <c r="D1" s="7"/>
      <c r="E1" s="7"/>
      <c r="F1" s="7"/>
      <c r="G1" s="7"/>
      <c r="H1" s="7"/>
      <c r="I1" s="7"/>
      <c r="J1" s="7"/>
      <c r="K1" s="7"/>
      <c r="L1" s="9"/>
      <c r="M1" s="9"/>
      <c r="N1" s="9"/>
      <c r="O1" s="9"/>
      <c r="P1" s="9"/>
      <c r="Q1" s="9"/>
      <c r="R1" s="9"/>
      <c r="S1" s="9"/>
      <c r="T1" s="9"/>
      <c r="U1" s="11"/>
    </row>
    <row r="2" outlineLevel="1">
      <c r="A2" s="12" t="s">
        <v>4</v>
      </c>
      <c r="B2" s="13"/>
      <c r="C2" s="14" t="s">
        <v>5</v>
      </c>
      <c r="D2" s="13"/>
      <c r="E2" s="13"/>
      <c r="F2" s="13"/>
      <c r="G2" s="13"/>
      <c r="H2" s="13"/>
      <c r="I2" s="13"/>
      <c r="J2" s="13"/>
      <c r="K2" s="13"/>
      <c r="L2" s="9"/>
      <c r="M2" s="9"/>
      <c r="N2" s="9"/>
      <c r="O2" s="9"/>
      <c r="P2" s="9"/>
      <c r="Q2" s="9"/>
      <c r="R2" s="9"/>
      <c r="S2" s="9"/>
      <c r="T2" s="9"/>
      <c r="U2" s="11"/>
    </row>
    <row r="3">
      <c r="A3" s="15" t="s">
        <v>6</v>
      </c>
      <c r="B3" s="13"/>
      <c r="C3" s="13"/>
      <c r="D3" s="13"/>
      <c r="E3" s="13"/>
      <c r="F3" s="13"/>
      <c r="G3" s="13"/>
      <c r="H3" s="13"/>
      <c r="I3" s="13"/>
      <c r="J3" s="13"/>
      <c r="K3" s="16"/>
      <c r="L3" s="9"/>
      <c r="M3" s="9"/>
      <c r="N3" s="9"/>
      <c r="O3" s="9"/>
      <c r="P3" s="9"/>
      <c r="Q3" s="9"/>
      <c r="R3" s="9"/>
      <c r="S3" s="9"/>
      <c r="T3" s="9"/>
      <c r="U3" s="11"/>
    </row>
    <row r="4" outlineLevel="1">
      <c r="A4" s="17" t="s">
        <v>7</v>
      </c>
      <c r="B4" s="19"/>
      <c r="C4" s="20" t="s">
        <v>8</v>
      </c>
      <c r="D4" s="21" t="s">
        <v>9</v>
      </c>
      <c r="E4" s="23" t="s">
        <v>10</v>
      </c>
      <c r="F4" s="20" t="s">
        <v>12</v>
      </c>
      <c r="G4" s="20" t="s">
        <v>13</v>
      </c>
      <c r="H4" s="57" t="str">
        <f>HYPERLINK("https://www.gctsd.k12.ar.us/images/testing/aspire_summative_assessment_overview.pdf","A")</f>
        <v>A</v>
      </c>
      <c r="I4" s="20" t="s">
        <v>17</v>
      </c>
      <c r="J4" s="20"/>
      <c r="K4" s="20" t="s">
        <v>18</v>
      </c>
      <c r="L4" s="9"/>
      <c r="M4" s="9"/>
      <c r="N4" s="9"/>
      <c r="O4" s="9"/>
      <c r="P4" s="9"/>
      <c r="Q4" s="9"/>
      <c r="R4" s="9"/>
      <c r="S4" s="9"/>
      <c r="T4" s="9"/>
      <c r="U4" s="11"/>
    </row>
    <row r="5" outlineLevel="1">
      <c r="A5" s="58" t="s">
        <v>19</v>
      </c>
      <c r="B5" s="34" t="s">
        <v>55</v>
      </c>
      <c r="C5" s="60">
        <f t="shared" ref="C5:C30" si="1">countif(F5:I5,TRUE)</f>
        <v>4</v>
      </c>
      <c r="D5" s="61" t="s">
        <v>60</v>
      </c>
      <c r="E5" s="62" t="s">
        <v>63</v>
      </c>
      <c r="F5" s="64" t="b">
        <v>1</v>
      </c>
      <c r="G5" s="65" t="b">
        <v>1</v>
      </c>
      <c r="H5" s="65" t="b">
        <v>1</v>
      </c>
      <c r="I5" s="65" t="b">
        <v>1</v>
      </c>
      <c r="J5" s="65"/>
      <c r="K5" s="65" t="s">
        <v>65</v>
      </c>
      <c r="L5" s="9"/>
      <c r="M5" s="9"/>
      <c r="N5" s="9"/>
      <c r="O5" s="9"/>
      <c r="P5" s="9"/>
      <c r="Q5" s="9"/>
      <c r="R5" s="9"/>
      <c r="S5" s="9"/>
      <c r="T5" s="9"/>
      <c r="U5" s="11"/>
    </row>
    <row r="6" outlineLevel="1">
      <c r="A6" s="66" t="s">
        <v>47</v>
      </c>
      <c r="B6" s="67" t="s">
        <v>66</v>
      </c>
      <c r="C6" s="42">
        <f t="shared" si="1"/>
        <v>0</v>
      </c>
      <c r="D6" s="68" t="s">
        <v>67</v>
      </c>
      <c r="E6" s="69" t="s">
        <v>68</v>
      </c>
      <c r="F6" s="70" t="b">
        <v>0</v>
      </c>
      <c r="G6" s="71" t="b">
        <v>0</v>
      </c>
      <c r="H6" s="71" t="b">
        <v>0</v>
      </c>
      <c r="I6" s="71" t="b">
        <v>0</v>
      </c>
      <c r="J6" s="71"/>
      <c r="K6" s="72" t="s">
        <v>69</v>
      </c>
      <c r="L6" s="9"/>
      <c r="M6" s="9"/>
      <c r="N6" s="9"/>
      <c r="O6" s="9"/>
      <c r="P6" s="9"/>
      <c r="Q6" s="9"/>
      <c r="R6" s="9"/>
      <c r="S6" s="9"/>
      <c r="T6" s="9"/>
      <c r="U6" s="11"/>
    </row>
    <row r="7" outlineLevel="1">
      <c r="A7" s="47"/>
      <c r="B7" s="75"/>
      <c r="C7" s="42">
        <f t="shared" si="1"/>
        <v>4</v>
      </c>
      <c r="D7" s="68" t="s">
        <v>72</v>
      </c>
      <c r="E7" s="69" t="s">
        <v>74</v>
      </c>
      <c r="F7" s="70" t="b">
        <v>1</v>
      </c>
      <c r="G7" s="71" t="b">
        <v>1</v>
      </c>
      <c r="H7" s="71" t="b">
        <v>1</v>
      </c>
      <c r="I7" s="71" t="b">
        <v>1</v>
      </c>
      <c r="J7" s="71"/>
      <c r="K7" s="72" t="s">
        <v>76</v>
      </c>
      <c r="L7" s="9"/>
      <c r="M7" s="9"/>
      <c r="N7" s="9"/>
      <c r="O7" s="9"/>
      <c r="P7" s="9"/>
      <c r="Q7" s="9"/>
      <c r="R7" s="9"/>
      <c r="S7" s="9"/>
      <c r="T7" s="9"/>
      <c r="U7" s="11"/>
    </row>
    <row r="8" outlineLevel="1">
      <c r="A8" s="47"/>
      <c r="B8" s="75"/>
      <c r="C8" s="42">
        <f t="shared" si="1"/>
        <v>1</v>
      </c>
      <c r="D8" s="68" t="s">
        <v>79</v>
      </c>
      <c r="E8" s="69" t="s">
        <v>80</v>
      </c>
      <c r="F8" s="70" t="b">
        <v>0</v>
      </c>
      <c r="G8" s="71" t="b">
        <v>0</v>
      </c>
      <c r="H8" s="71" t="b">
        <v>1</v>
      </c>
      <c r="I8" s="78" t="b">
        <v>0</v>
      </c>
      <c r="J8" s="71"/>
      <c r="K8" s="65"/>
      <c r="L8" s="9"/>
      <c r="M8" s="9"/>
      <c r="N8" s="9"/>
      <c r="O8" s="9"/>
      <c r="P8" s="9"/>
      <c r="Q8" s="9"/>
      <c r="R8" s="9"/>
      <c r="S8" s="9"/>
      <c r="T8" s="9"/>
      <c r="U8" s="11"/>
    </row>
    <row r="9" outlineLevel="1">
      <c r="A9" s="47"/>
      <c r="B9" s="75"/>
      <c r="C9" s="42">
        <f t="shared" si="1"/>
        <v>2</v>
      </c>
      <c r="D9" s="68" t="s">
        <v>87</v>
      </c>
      <c r="E9" s="69" t="s">
        <v>88</v>
      </c>
      <c r="F9" s="70" t="b">
        <v>1</v>
      </c>
      <c r="G9" s="71" t="b">
        <v>0</v>
      </c>
      <c r="H9" s="71" t="b">
        <v>1</v>
      </c>
      <c r="I9" s="71" t="b">
        <v>0</v>
      </c>
      <c r="J9" s="78"/>
      <c r="K9" s="65"/>
      <c r="L9" s="9"/>
      <c r="M9" s="9"/>
      <c r="N9" s="9"/>
      <c r="O9" s="9"/>
      <c r="P9" s="9"/>
      <c r="Q9" s="9"/>
      <c r="R9" s="9"/>
      <c r="S9" s="9"/>
      <c r="T9" s="9"/>
      <c r="U9" s="11"/>
    </row>
    <row r="10" outlineLevel="1">
      <c r="A10" s="50"/>
      <c r="B10" s="80"/>
      <c r="C10" s="35">
        <f t="shared" si="1"/>
        <v>4</v>
      </c>
      <c r="D10" s="61" t="s">
        <v>91</v>
      </c>
      <c r="E10" s="62" t="s">
        <v>92</v>
      </c>
      <c r="F10" s="64" t="b">
        <v>1</v>
      </c>
      <c r="G10" s="65" t="b">
        <v>1</v>
      </c>
      <c r="H10" s="65" t="b">
        <v>1</v>
      </c>
      <c r="I10" s="65" t="b">
        <v>1</v>
      </c>
      <c r="J10" s="82"/>
      <c r="K10" s="65" t="s">
        <v>96</v>
      </c>
      <c r="L10" s="9"/>
      <c r="M10" s="9"/>
      <c r="N10" s="9"/>
      <c r="O10" s="9"/>
      <c r="P10" s="9"/>
      <c r="Q10" s="9"/>
      <c r="R10" s="9"/>
      <c r="S10" s="9"/>
      <c r="T10" s="9"/>
      <c r="U10" s="11"/>
    </row>
    <row r="11" outlineLevel="1">
      <c r="A11" s="85" t="s">
        <v>90</v>
      </c>
      <c r="B11" s="84" t="s">
        <v>99</v>
      </c>
      <c r="C11" s="42">
        <f t="shared" si="1"/>
        <v>1</v>
      </c>
      <c r="D11" s="68" t="s">
        <v>101</v>
      </c>
      <c r="E11" s="69" t="s">
        <v>102</v>
      </c>
      <c r="F11" s="70" t="b">
        <v>1</v>
      </c>
      <c r="G11" s="78" t="b">
        <v>0</v>
      </c>
      <c r="H11" s="78" t="b">
        <v>0</v>
      </c>
      <c r="I11" s="78" t="b">
        <v>0</v>
      </c>
      <c r="J11" s="78"/>
      <c r="K11" s="65"/>
      <c r="L11" s="9"/>
      <c r="M11" s="9"/>
      <c r="N11" s="9"/>
      <c r="O11" s="9"/>
      <c r="P11" s="9"/>
      <c r="Q11" s="9"/>
      <c r="R11" s="9"/>
      <c r="S11" s="9"/>
      <c r="T11" s="9"/>
      <c r="U11" s="11"/>
    </row>
    <row r="12" outlineLevel="1">
      <c r="A12" s="47"/>
      <c r="B12" s="47"/>
      <c r="C12" s="42">
        <f t="shared" si="1"/>
        <v>2</v>
      </c>
      <c r="D12" s="68" t="s">
        <v>109</v>
      </c>
      <c r="E12" s="69" t="s">
        <v>110</v>
      </c>
      <c r="F12" s="70" t="b">
        <v>1</v>
      </c>
      <c r="G12" s="71" t="b">
        <v>0</v>
      </c>
      <c r="H12" s="71" t="b">
        <v>1</v>
      </c>
      <c r="I12" s="78" t="b">
        <v>0</v>
      </c>
      <c r="J12" s="78"/>
      <c r="K12" s="65" t="s">
        <v>114</v>
      </c>
      <c r="L12" s="9"/>
      <c r="M12" s="9"/>
      <c r="N12" s="9"/>
      <c r="O12" s="9"/>
      <c r="P12" s="9"/>
      <c r="Q12" s="9"/>
      <c r="R12" s="9"/>
      <c r="S12" s="9"/>
      <c r="T12" s="9"/>
      <c r="U12" s="11"/>
    </row>
    <row r="13" outlineLevel="1">
      <c r="A13" s="47"/>
      <c r="B13" s="47"/>
      <c r="C13" s="42">
        <f t="shared" si="1"/>
        <v>2</v>
      </c>
      <c r="D13" s="68" t="s">
        <v>117</v>
      </c>
      <c r="E13" s="69" t="s">
        <v>118</v>
      </c>
      <c r="F13" s="70" t="b">
        <v>1</v>
      </c>
      <c r="G13" s="71" t="b">
        <v>0</v>
      </c>
      <c r="H13" s="71" t="b">
        <v>1</v>
      </c>
      <c r="I13" s="78" t="b">
        <v>0</v>
      </c>
      <c r="J13" s="78"/>
      <c r="K13" s="65" t="s">
        <v>114</v>
      </c>
      <c r="L13" s="9"/>
      <c r="M13" s="9"/>
      <c r="N13" s="9"/>
      <c r="O13" s="9"/>
      <c r="P13" s="9"/>
      <c r="Q13" s="9"/>
      <c r="R13" s="9"/>
      <c r="S13" s="9"/>
      <c r="T13" s="9"/>
      <c r="U13" s="11"/>
    </row>
    <row r="14" outlineLevel="1">
      <c r="A14" s="47"/>
      <c r="B14" s="50"/>
      <c r="C14" s="35">
        <f t="shared" si="1"/>
        <v>0</v>
      </c>
      <c r="D14" s="89"/>
      <c r="E14" s="37"/>
      <c r="F14" s="64" t="b">
        <v>0</v>
      </c>
      <c r="G14" s="65" t="b">
        <v>0</v>
      </c>
      <c r="H14" s="65" t="b">
        <v>0</v>
      </c>
      <c r="I14" s="65" t="b">
        <v>0</v>
      </c>
      <c r="J14" s="82"/>
      <c r="K14" s="65"/>
      <c r="L14" s="9"/>
      <c r="M14" s="9"/>
      <c r="N14" s="9"/>
      <c r="O14" s="9"/>
      <c r="P14" s="9"/>
      <c r="Q14" s="9"/>
      <c r="R14" s="9"/>
      <c r="S14" s="9"/>
      <c r="T14" s="9"/>
      <c r="U14" s="11"/>
    </row>
    <row r="15" outlineLevel="1">
      <c r="A15" s="47"/>
      <c r="B15" s="92" t="s">
        <v>128</v>
      </c>
      <c r="C15" s="42">
        <f t="shared" si="1"/>
        <v>4</v>
      </c>
      <c r="D15" s="68" t="s">
        <v>134</v>
      </c>
      <c r="E15" s="69" t="s">
        <v>135</v>
      </c>
      <c r="F15" s="70" t="b">
        <v>1</v>
      </c>
      <c r="G15" s="71" t="b">
        <v>1</v>
      </c>
      <c r="H15" s="71" t="b">
        <v>1</v>
      </c>
      <c r="I15" s="71" t="b">
        <v>1</v>
      </c>
      <c r="J15" s="78"/>
      <c r="K15" s="65" t="s">
        <v>138</v>
      </c>
      <c r="L15" s="9"/>
      <c r="M15" s="9"/>
      <c r="N15" s="9"/>
      <c r="O15" s="9"/>
      <c r="P15" s="9"/>
      <c r="Q15" s="9"/>
      <c r="R15" s="9"/>
      <c r="S15" s="9"/>
      <c r="T15" s="9"/>
      <c r="U15" s="11"/>
    </row>
    <row r="16" outlineLevel="1">
      <c r="A16" s="47"/>
      <c r="B16" s="47"/>
      <c r="C16" s="42">
        <f t="shared" si="1"/>
        <v>1</v>
      </c>
      <c r="D16" s="68" t="s">
        <v>142</v>
      </c>
      <c r="E16" s="69" t="s">
        <v>144</v>
      </c>
      <c r="F16" s="70" t="b">
        <v>1</v>
      </c>
      <c r="G16" s="78" t="b">
        <v>0</v>
      </c>
      <c r="H16" s="78" t="b">
        <v>0</v>
      </c>
      <c r="I16" s="78" t="b">
        <v>0</v>
      </c>
      <c r="J16" s="78"/>
      <c r="K16" s="65"/>
      <c r="L16" s="9"/>
      <c r="M16" s="9"/>
      <c r="N16" s="9"/>
      <c r="O16" s="9"/>
      <c r="P16" s="9"/>
      <c r="Q16" s="9"/>
      <c r="R16" s="9"/>
      <c r="S16" s="9"/>
      <c r="T16" s="9"/>
      <c r="U16" s="11"/>
    </row>
    <row r="17" outlineLevel="1">
      <c r="A17" s="50"/>
      <c r="B17" s="50"/>
      <c r="C17" s="35">
        <f t="shared" si="1"/>
        <v>1</v>
      </c>
      <c r="D17" s="61" t="s">
        <v>149</v>
      </c>
      <c r="E17" s="62" t="s">
        <v>150</v>
      </c>
      <c r="F17" s="64" t="b">
        <v>1</v>
      </c>
      <c r="G17" s="82" t="b">
        <v>0</v>
      </c>
      <c r="H17" s="82" t="b">
        <v>0</v>
      </c>
      <c r="I17" s="82" t="b">
        <v>0</v>
      </c>
      <c r="J17" s="82"/>
      <c r="K17" s="65"/>
      <c r="L17" s="9"/>
      <c r="M17" s="9"/>
      <c r="N17" s="9"/>
      <c r="O17" s="9"/>
      <c r="P17" s="9"/>
      <c r="Q17" s="9"/>
      <c r="R17" s="9"/>
      <c r="S17" s="9"/>
      <c r="T17" s="9"/>
      <c r="U17" s="11"/>
    </row>
    <row r="18" outlineLevel="1">
      <c r="A18" s="94" t="s">
        <v>124</v>
      </c>
      <c r="B18" s="91" t="s">
        <v>160</v>
      </c>
      <c r="C18" s="42">
        <f t="shared" si="1"/>
        <v>2</v>
      </c>
      <c r="D18" s="68" t="s">
        <v>161</v>
      </c>
      <c r="E18" s="69" t="s">
        <v>162</v>
      </c>
      <c r="F18" s="70" t="b">
        <v>1</v>
      </c>
      <c r="G18" s="78" t="b">
        <v>0</v>
      </c>
      <c r="H18" s="71" t="b">
        <v>1</v>
      </c>
      <c r="I18" s="78" t="b">
        <v>0</v>
      </c>
      <c r="J18" s="78"/>
      <c r="K18" s="65"/>
      <c r="L18" s="9"/>
      <c r="M18" s="9"/>
      <c r="N18" s="9"/>
      <c r="O18" s="9"/>
      <c r="P18" s="9"/>
      <c r="Q18" s="9"/>
      <c r="R18" s="9"/>
      <c r="S18" s="9"/>
      <c r="T18" s="9"/>
      <c r="U18" s="11"/>
    </row>
    <row r="19" outlineLevel="1">
      <c r="A19" s="47"/>
      <c r="B19" s="50"/>
      <c r="C19" s="35">
        <f t="shared" si="1"/>
        <v>3</v>
      </c>
      <c r="D19" s="61" t="s">
        <v>169</v>
      </c>
      <c r="E19" s="62" t="s">
        <v>170</v>
      </c>
      <c r="F19" s="64" t="b">
        <v>1</v>
      </c>
      <c r="G19" s="65" t="b">
        <v>1</v>
      </c>
      <c r="H19" s="65" t="b">
        <v>1</v>
      </c>
      <c r="I19" s="82" t="b">
        <v>0</v>
      </c>
      <c r="J19" s="82"/>
      <c r="K19" s="65"/>
      <c r="L19" s="9"/>
      <c r="M19" s="9"/>
      <c r="N19" s="9"/>
      <c r="O19" s="9"/>
      <c r="P19" s="9"/>
      <c r="Q19" s="9"/>
      <c r="R19" s="9"/>
      <c r="S19" s="9"/>
      <c r="T19" s="9"/>
      <c r="U19" s="11"/>
    </row>
    <row r="20" outlineLevel="1">
      <c r="A20" s="50"/>
      <c r="B20" s="93" t="s">
        <v>171</v>
      </c>
      <c r="C20" s="35">
        <f t="shared" si="1"/>
        <v>4</v>
      </c>
      <c r="D20" s="61" t="s">
        <v>173</v>
      </c>
      <c r="E20" s="62" t="s">
        <v>175</v>
      </c>
      <c r="F20" s="64" t="b">
        <v>1</v>
      </c>
      <c r="G20" s="65" t="b">
        <v>1</v>
      </c>
      <c r="H20" s="65" t="b">
        <v>1</v>
      </c>
      <c r="I20" s="65" t="b">
        <v>1</v>
      </c>
      <c r="J20" s="82"/>
      <c r="K20" s="72" t="s">
        <v>176</v>
      </c>
      <c r="L20" s="9"/>
      <c r="M20" s="9"/>
      <c r="N20" s="9"/>
      <c r="O20" s="9"/>
      <c r="P20" s="9"/>
      <c r="Q20" s="9"/>
      <c r="R20" s="9"/>
      <c r="S20" s="9"/>
      <c r="T20" s="9"/>
      <c r="U20" s="11"/>
    </row>
    <row r="21" outlineLevel="1">
      <c r="A21" s="99" t="s">
        <v>178</v>
      </c>
      <c r="B21" s="101" t="s">
        <v>182</v>
      </c>
      <c r="C21" s="42">
        <f t="shared" si="1"/>
        <v>4</v>
      </c>
      <c r="D21" s="68" t="s">
        <v>187</v>
      </c>
      <c r="E21" s="69" t="s">
        <v>188</v>
      </c>
      <c r="F21" s="70" t="b">
        <v>1</v>
      </c>
      <c r="G21" s="71" t="b">
        <v>1</v>
      </c>
      <c r="H21" s="71" t="b">
        <v>1</v>
      </c>
      <c r="I21" s="71" t="b">
        <v>1</v>
      </c>
      <c r="J21" s="78"/>
      <c r="K21" s="65" t="s">
        <v>189</v>
      </c>
      <c r="L21" s="9"/>
      <c r="M21" s="9"/>
      <c r="N21" s="9"/>
      <c r="O21" s="9"/>
      <c r="P21" s="9"/>
      <c r="Q21" s="9"/>
      <c r="R21" s="9"/>
      <c r="S21" s="9"/>
      <c r="T21" s="9"/>
      <c r="U21" s="11"/>
    </row>
    <row r="22" outlineLevel="1">
      <c r="A22" s="47"/>
      <c r="B22" s="47"/>
      <c r="C22" s="42">
        <f t="shared" si="1"/>
        <v>1</v>
      </c>
      <c r="D22" s="68" t="s">
        <v>192</v>
      </c>
      <c r="E22" s="69" t="s">
        <v>194</v>
      </c>
      <c r="F22" s="70" t="b">
        <v>0</v>
      </c>
      <c r="G22" s="71" t="b">
        <v>0</v>
      </c>
      <c r="H22" s="71" t="b">
        <v>1</v>
      </c>
      <c r="I22" s="78" t="b">
        <v>0</v>
      </c>
      <c r="J22" s="78"/>
      <c r="K22" s="65" t="s">
        <v>197</v>
      </c>
      <c r="L22" s="9"/>
      <c r="M22" s="9"/>
      <c r="N22" s="9"/>
      <c r="O22" s="9"/>
      <c r="P22" s="9"/>
      <c r="Q22" s="9"/>
      <c r="R22" s="9"/>
      <c r="S22" s="9"/>
      <c r="T22" s="9"/>
      <c r="U22" s="11"/>
    </row>
    <row r="23" outlineLevel="1">
      <c r="A23" s="47"/>
      <c r="B23" s="50"/>
      <c r="C23" s="35">
        <f t="shared" si="1"/>
        <v>4</v>
      </c>
      <c r="D23" s="61" t="s">
        <v>198</v>
      </c>
      <c r="E23" s="62" t="s">
        <v>199</v>
      </c>
      <c r="F23" s="64" t="b">
        <v>1</v>
      </c>
      <c r="G23" s="65" t="b">
        <v>1</v>
      </c>
      <c r="H23" s="65" t="b">
        <v>1</v>
      </c>
      <c r="I23" s="65" t="b">
        <v>1</v>
      </c>
      <c r="J23" s="82"/>
      <c r="K23" s="65" t="s">
        <v>201</v>
      </c>
      <c r="L23" s="9"/>
      <c r="M23" s="9"/>
      <c r="N23" s="9"/>
      <c r="O23" s="9"/>
      <c r="P23" s="9"/>
      <c r="Q23" s="9"/>
      <c r="R23" s="9"/>
      <c r="S23" s="9"/>
      <c r="T23" s="9"/>
      <c r="U23" s="11"/>
    </row>
    <row r="24" outlineLevel="1">
      <c r="A24" s="47"/>
      <c r="B24" s="106" t="s">
        <v>203</v>
      </c>
      <c r="C24" s="42">
        <f t="shared" si="1"/>
        <v>0</v>
      </c>
      <c r="D24" s="68" t="s">
        <v>208</v>
      </c>
      <c r="E24" s="69" t="s">
        <v>209</v>
      </c>
      <c r="F24" s="70" t="b">
        <v>0</v>
      </c>
      <c r="G24" s="71" t="b">
        <v>0</v>
      </c>
      <c r="H24" s="71" t="b">
        <v>0</v>
      </c>
      <c r="I24" s="71" t="b">
        <v>0</v>
      </c>
      <c r="J24" s="78"/>
      <c r="K24" s="65" t="s">
        <v>212</v>
      </c>
      <c r="L24" s="9"/>
      <c r="M24" s="9"/>
      <c r="N24" s="9"/>
      <c r="O24" s="9"/>
      <c r="P24" s="9"/>
      <c r="Q24" s="9"/>
      <c r="R24" s="9"/>
      <c r="S24" s="9"/>
      <c r="T24" s="9"/>
      <c r="U24" s="11"/>
    </row>
    <row r="25" outlineLevel="1">
      <c r="A25" s="47"/>
      <c r="B25" s="47"/>
      <c r="C25" s="42">
        <f t="shared" si="1"/>
        <v>4</v>
      </c>
      <c r="D25" s="68" t="s">
        <v>214</v>
      </c>
      <c r="E25" s="69" t="s">
        <v>215</v>
      </c>
      <c r="F25" s="70" t="b">
        <v>1</v>
      </c>
      <c r="G25" s="71" t="b">
        <v>1</v>
      </c>
      <c r="H25" s="71" t="b">
        <v>1</v>
      </c>
      <c r="I25" s="71" t="b">
        <v>1</v>
      </c>
      <c r="J25" s="78"/>
      <c r="K25" s="72" t="s">
        <v>218</v>
      </c>
      <c r="L25" s="9"/>
      <c r="M25" s="9"/>
      <c r="N25" s="9"/>
      <c r="O25" s="9"/>
      <c r="P25" s="9"/>
      <c r="Q25" s="9"/>
      <c r="R25" s="9"/>
      <c r="S25" s="9"/>
      <c r="T25" s="9"/>
      <c r="U25" s="11"/>
    </row>
    <row r="26" outlineLevel="1">
      <c r="A26" s="47"/>
      <c r="B26" s="47"/>
      <c r="C26" s="42">
        <f t="shared" si="1"/>
        <v>1</v>
      </c>
      <c r="D26" s="68" t="s">
        <v>219</v>
      </c>
      <c r="E26" s="69" t="s">
        <v>220</v>
      </c>
      <c r="F26" s="70" t="b">
        <v>1</v>
      </c>
      <c r="G26" s="78" t="b">
        <v>0</v>
      </c>
      <c r="H26" s="71" t="b">
        <v>0</v>
      </c>
      <c r="I26" s="78" t="b">
        <v>0</v>
      </c>
      <c r="J26" s="78"/>
      <c r="K26" s="65" t="s">
        <v>221</v>
      </c>
      <c r="L26" s="9"/>
      <c r="M26" s="9"/>
      <c r="N26" s="9"/>
      <c r="O26" s="9"/>
      <c r="P26" s="9"/>
      <c r="Q26" s="9"/>
      <c r="R26" s="9"/>
      <c r="S26" s="9"/>
      <c r="T26" s="9"/>
      <c r="U26" s="11"/>
    </row>
    <row r="27" outlineLevel="1">
      <c r="A27" s="47"/>
      <c r="B27" s="47"/>
      <c r="C27" s="42">
        <f t="shared" si="1"/>
        <v>2</v>
      </c>
      <c r="D27" s="68" t="s">
        <v>224</v>
      </c>
      <c r="E27" s="69" t="s">
        <v>225</v>
      </c>
      <c r="F27" s="70" t="b">
        <v>1</v>
      </c>
      <c r="G27" s="78" t="b">
        <v>0</v>
      </c>
      <c r="H27" s="71" t="b">
        <v>1</v>
      </c>
      <c r="I27" s="78" t="b">
        <v>0</v>
      </c>
      <c r="J27" s="78"/>
      <c r="K27" s="71" t="s">
        <v>228</v>
      </c>
      <c r="L27" s="9"/>
      <c r="M27" s="9"/>
      <c r="N27" s="9"/>
      <c r="O27" s="9"/>
      <c r="P27" s="9"/>
      <c r="Q27" s="9"/>
      <c r="R27" s="9"/>
      <c r="S27" s="9"/>
      <c r="T27" s="9"/>
      <c r="U27" s="11"/>
    </row>
    <row r="28" outlineLevel="1">
      <c r="A28" s="47"/>
      <c r="B28" s="50"/>
      <c r="C28" s="35">
        <f t="shared" si="1"/>
        <v>2</v>
      </c>
      <c r="D28" s="61" t="s">
        <v>229</v>
      </c>
      <c r="E28" s="62" t="s">
        <v>231</v>
      </c>
      <c r="F28" s="64" t="b">
        <v>1</v>
      </c>
      <c r="G28" s="82" t="b">
        <v>0</v>
      </c>
      <c r="H28" s="65" t="b">
        <v>1</v>
      </c>
      <c r="I28" s="82" t="b">
        <v>0</v>
      </c>
      <c r="J28" s="82"/>
      <c r="K28" s="72" t="s">
        <v>233</v>
      </c>
      <c r="L28" s="9"/>
      <c r="M28" s="9"/>
      <c r="N28" s="9"/>
      <c r="O28" s="9"/>
      <c r="P28" s="9"/>
      <c r="Q28" s="9"/>
      <c r="R28" s="9"/>
      <c r="S28" s="9"/>
      <c r="T28" s="9"/>
      <c r="U28" s="11"/>
    </row>
    <row r="29" outlineLevel="1">
      <c r="A29" s="47"/>
      <c r="B29" s="113" t="s">
        <v>236</v>
      </c>
      <c r="C29" s="42">
        <f t="shared" si="1"/>
        <v>2</v>
      </c>
      <c r="D29" s="68" t="s">
        <v>242</v>
      </c>
      <c r="E29" s="69" t="s">
        <v>243</v>
      </c>
      <c r="F29" s="70" t="b">
        <v>1</v>
      </c>
      <c r="G29" s="78" t="b">
        <v>0</v>
      </c>
      <c r="H29" s="71" t="b">
        <v>1</v>
      </c>
      <c r="I29" s="78" t="b">
        <v>0</v>
      </c>
      <c r="J29" s="78"/>
      <c r="K29" s="71"/>
      <c r="L29" s="9"/>
      <c r="M29" s="9"/>
      <c r="N29" s="9"/>
      <c r="O29" s="9"/>
      <c r="P29" s="9"/>
      <c r="Q29" s="9"/>
      <c r="R29" s="9"/>
      <c r="S29" s="9"/>
      <c r="T29" s="9"/>
      <c r="U29" s="11"/>
    </row>
    <row r="30" outlineLevel="1">
      <c r="A30" s="50"/>
      <c r="B30" s="50"/>
      <c r="C30" s="42">
        <f t="shared" si="1"/>
        <v>2</v>
      </c>
      <c r="D30" s="61" t="s">
        <v>245</v>
      </c>
      <c r="E30" s="62" t="s">
        <v>246</v>
      </c>
      <c r="F30" s="64" t="b">
        <v>1</v>
      </c>
      <c r="G30" s="82" t="b">
        <v>0</v>
      </c>
      <c r="H30" s="65" t="b">
        <v>1</v>
      </c>
      <c r="I30" s="82" t="b">
        <v>0</v>
      </c>
      <c r="J30" s="82"/>
      <c r="K30" s="65"/>
      <c r="L30" s="9"/>
      <c r="M30" s="9"/>
      <c r="N30" s="9"/>
      <c r="O30" s="9"/>
      <c r="P30" s="9"/>
      <c r="Q30" s="9"/>
      <c r="R30" s="9"/>
      <c r="S30" s="9"/>
      <c r="T30" s="9"/>
      <c r="U30" s="11"/>
    </row>
    <row r="31">
      <c r="A31" s="97"/>
      <c r="B31" s="97"/>
      <c r="C31" s="97"/>
      <c r="D31" s="97"/>
      <c r="E31" s="97"/>
      <c r="F31" s="97"/>
      <c r="G31" s="97"/>
      <c r="H31" s="97"/>
      <c r="I31" s="97"/>
      <c r="J31" s="97"/>
      <c r="K31" s="97"/>
      <c r="L31" s="9"/>
      <c r="M31" s="9"/>
      <c r="N31" s="9"/>
      <c r="O31" s="9"/>
      <c r="P31" s="9"/>
      <c r="Q31" s="9"/>
      <c r="R31" s="9"/>
      <c r="S31" s="9"/>
      <c r="T31" s="9"/>
      <c r="U31" s="11"/>
    </row>
    <row r="32" outlineLevel="1">
      <c r="A32" s="100" t="s">
        <v>4</v>
      </c>
      <c r="C32" s="102" t="s">
        <v>184</v>
      </c>
      <c r="D32" s="103">
        <f>countif(L35:L60,TRUE)</f>
        <v>0</v>
      </c>
      <c r="E32" s="118" t="s">
        <v>195</v>
      </c>
      <c r="F32" s="102" t="s">
        <v>196</v>
      </c>
      <c r="H32" s="105">
        <f>IFERROR(__xludf.DUMMYFUNCTION("COUNTUNIQUE(D5:D30)"),25.0)</f>
        <v>25</v>
      </c>
      <c r="I32" s="107" t="s">
        <v>206</v>
      </c>
      <c r="J32" s="108"/>
      <c r="K32" s="108">
        <f>H32/3</f>
        <v>8.333333333</v>
      </c>
      <c r="L32" s="26"/>
      <c r="M32" s="26"/>
      <c r="N32" s="26"/>
      <c r="O32" s="26"/>
      <c r="P32" s="26"/>
      <c r="Q32" s="26"/>
      <c r="R32" s="26"/>
      <c r="S32" s="26"/>
      <c r="T32" s="26"/>
      <c r="U32" s="27"/>
    </row>
    <row r="33">
      <c r="A33" s="109" t="s">
        <v>216</v>
      </c>
      <c r="B33" s="13"/>
      <c r="C33" s="111">
        <v>3.0</v>
      </c>
      <c r="D33" s="9"/>
      <c r="E33" s="112" t="s">
        <v>226</v>
      </c>
      <c r="F33" s="9"/>
      <c r="G33" s="9"/>
      <c r="H33" s="9"/>
      <c r="I33" s="9"/>
      <c r="J33" s="9"/>
      <c r="K33" s="9"/>
      <c r="L33" s="9"/>
      <c r="M33" s="9"/>
      <c r="N33" s="9"/>
      <c r="O33" s="9"/>
      <c r="P33" s="9"/>
      <c r="Q33" s="9"/>
      <c r="R33" s="9"/>
      <c r="S33" s="9"/>
      <c r="T33" s="9"/>
      <c r="U33" s="11"/>
    </row>
    <row r="34">
      <c r="A34" s="17" t="s">
        <v>7</v>
      </c>
      <c r="B34" s="19"/>
      <c r="C34" s="20" t="s">
        <v>8</v>
      </c>
      <c r="D34" s="21" t="s">
        <v>9</v>
      </c>
      <c r="E34" s="23" t="s">
        <v>10</v>
      </c>
      <c r="F34" s="20" t="s">
        <v>12</v>
      </c>
      <c r="G34" s="20" t="s">
        <v>13</v>
      </c>
      <c r="H34" s="20" t="s">
        <v>234</v>
      </c>
      <c r="I34" s="20" t="s">
        <v>17</v>
      </c>
      <c r="J34" s="20"/>
      <c r="K34" s="20" t="s">
        <v>18</v>
      </c>
      <c r="L34" s="21" t="s">
        <v>235</v>
      </c>
      <c r="M34" s="9"/>
      <c r="N34" s="9"/>
      <c r="O34" s="9"/>
      <c r="P34" s="9"/>
      <c r="Q34" s="9"/>
      <c r="R34" s="9"/>
      <c r="S34" s="9"/>
      <c r="T34" s="9"/>
      <c r="U34" s="11"/>
    </row>
    <row r="35">
      <c r="A35" s="58" t="s">
        <v>19</v>
      </c>
      <c r="B35" s="34" t="s">
        <v>55</v>
      </c>
      <c r="C35" s="60">
        <f t="shared" ref="C35:C60" si="4">countif(F35:I35,TRUE)</f>
        <v>4</v>
      </c>
      <c r="D35" s="9" t="str">
        <f t="shared" ref="D35:I35" si="2">if($C5&gt;$C$33,D5,"")</f>
        <v>K.NBT.A.1</v>
      </c>
      <c r="E35" s="114" t="str">
        <f t="shared" si="2"/>
        <v>Compose and decompose numbers from 11 to 19 into ten ones and some further ones, e.g., by using objects or drawings, and record each composition or decomposition by a drawing or equation (such as 18 = 10 + 8); understand that these numbers are composed of ten ones and one, two, three, four, five, six, seven, eight, or nine ones.</v>
      </c>
      <c r="F35" s="9" t="b">
        <f t="shared" si="2"/>
        <v>1</v>
      </c>
      <c r="G35" s="9" t="b">
        <f t="shared" si="2"/>
        <v>1</v>
      </c>
      <c r="H35" s="9" t="b">
        <f t="shared" si="2"/>
        <v>1</v>
      </c>
      <c r="I35" s="9" t="b">
        <f t="shared" si="2"/>
        <v>1</v>
      </c>
      <c r="J35" s="9"/>
      <c r="K35" s="114" t="str">
        <f t="shared" ref="K35:K60" si="6">if($C5&gt;$C$33,K5,"")</f>
        <v>Place value </v>
      </c>
      <c r="L35" s="116" t="b">
        <v>0</v>
      </c>
      <c r="M35" s="9" t="str">
        <f t="shared" ref="M35:U35" si="3">if($L35=TRUE,C35,"")</f>
        <v/>
      </c>
      <c r="N35" s="9" t="str">
        <f t="shared" si="3"/>
        <v/>
      </c>
      <c r="O35" s="9" t="str">
        <f t="shared" si="3"/>
        <v/>
      </c>
      <c r="P35" s="9" t="str">
        <f t="shared" si="3"/>
        <v/>
      </c>
      <c r="Q35" s="9" t="str">
        <f t="shared" si="3"/>
        <v/>
      </c>
      <c r="R35" s="9" t="str">
        <f t="shared" si="3"/>
        <v/>
      </c>
      <c r="S35" s="9" t="str">
        <f t="shared" si="3"/>
        <v/>
      </c>
      <c r="T35" s="9" t="str">
        <f t="shared" si="3"/>
        <v/>
      </c>
      <c r="U35" s="11" t="str">
        <f t="shared" si="3"/>
        <v/>
      </c>
    </row>
    <row r="36">
      <c r="A36" s="66" t="s">
        <v>47</v>
      </c>
      <c r="B36" s="56" t="s">
        <v>66</v>
      </c>
      <c r="C36" s="42">
        <f t="shared" si="4"/>
        <v>0</v>
      </c>
      <c r="D36" s="9" t="str">
        <f t="shared" ref="D36:I36" si="5">if($C6&gt;$C$33,D6,"")</f>
        <v/>
      </c>
      <c r="E36" s="114" t="str">
        <f t="shared" si="5"/>
        <v/>
      </c>
      <c r="F36" s="9" t="str">
        <f t="shared" si="5"/>
        <v/>
      </c>
      <c r="G36" s="9" t="str">
        <f t="shared" si="5"/>
        <v/>
      </c>
      <c r="H36" s="9" t="str">
        <f t="shared" si="5"/>
        <v/>
      </c>
      <c r="I36" s="9" t="str">
        <f t="shared" si="5"/>
        <v/>
      </c>
      <c r="J36" s="9"/>
      <c r="K36" s="114" t="str">
        <f t="shared" si="6"/>
        <v/>
      </c>
      <c r="L36" s="116" t="b">
        <v>0</v>
      </c>
      <c r="M36" s="9" t="str">
        <f t="shared" ref="M36:U36" si="7">if($L36=TRUE,C36,"")</f>
        <v/>
      </c>
      <c r="N36" s="9" t="str">
        <f t="shared" si="7"/>
        <v/>
      </c>
      <c r="O36" s="9" t="str">
        <f t="shared" si="7"/>
        <v/>
      </c>
      <c r="P36" s="9" t="str">
        <f t="shared" si="7"/>
        <v/>
      </c>
      <c r="Q36" s="9" t="str">
        <f t="shared" si="7"/>
        <v/>
      </c>
      <c r="R36" s="9" t="str">
        <f t="shared" si="7"/>
        <v/>
      </c>
      <c r="S36" s="9" t="str">
        <f t="shared" si="7"/>
        <v/>
      </c>
      <c r="T36" s="9" t="str">
        <f t="shared" si="7"/>
        <v/>
      </c>
      <c r="U36" s="11" t="str">
        <f t="shared" si="7"/>
        <v/>
      </c>
    </row>
    <row r="37">
      <c r="A37" s="47"/>
      <c r="B37" s="47"/>
      <c r="C37" s="42">
        <f t="shared" si="4"/>
        <v>4</v>
      </c>
      <c r="D37" s="9" t="str">
        <f t="shared" ref="D37:I37" si="8">if($C7&gt;$C$33,D7,"")</f>
        <v>K.OA.A.2</v>
      </c>
      <c r="E37" s="114" t="str">
        <f t="shared" si="8"/>
        <v>Solve addition and subtraction word problems, and add and subtract within 10, e.g., by using objects or drawings to represent the problem.</v>
      </c>
      <c r="F37" s="9" t="b">
        <f t="shared" si="8"/>
        <v>1</v>
      </c>
      <c r="G37" s="9" t="b">
        <f t="shared" si="8"/>
        <v>1</v>
      </c>
      <c r="H37" s="9" t="b">
        <f t="shared" si="8"/>
        <v>1</v>
      </c>
      <c r="I37" s="9" t="b">
        <f t="shared" si="8"/>
        <v>1</v>
      </c>
      <c r="J37" s="9"/>
      <c r="K37" s="114" t="str">
        <f t="shared" si="6"/>
        <v>Bold part is essential. Foundational skill. Learning to compose and decompose numbers</v>
      </c>
      <c r="L37" s="116" t="b">
        <v>0</v>
      </c>
      <c r="M37" s="9" t="str">
        <f t="shared" ref="M37:U37" si="9">if($L37=TRUE,C37,"")</f>
        <v/>
      </c>
      <c r="N37" s="9" t="str">
        <f t="shared" si="9"/>
        <v/>
      </c>
      <c r="O37" s="9" t="str">
        <f t="shared" si="9"/>
        <v/>
      </c>
      <c r="P37" s="9" t="str">
        <f t="shared" si="9"/>
        <v/>
      </c>
      <c r="Q37" s="9" t="str">
        <f t="shared" si="9"/>
        <v/>
      </c>
      <c r="R37" s="9" t="str">
        <f t="shared" si="9"/>
        <v/>
      </c>
      <c r="S37" s="9" t="str">
        <f t="shared" si="9"/>
        <v/>
      </c>
      <c r="T37" s="9" t="str">
        <f t="shared" si="9"/>
        <v/>
      </c>
      <c r="U37" s="11" t="str">
        <f t="shared" si="9"/>
        <v/>
      </c>
    </row>
    <row r="38">
      <c r="A38" s="47"/>
      <c r="B38" s="47"/>
      <c r="C38" s="42">
        <f t="shared" si="4"/>
        <v>0</v>
      </c>
      <c r="D38" s="9" t="str">
        <f t="shared" ref="D38:I38" si="10">if($C8&gt;$C$33,D8,"")</f>
        <v/>
      </c>
      <c r="E38" s="114" t="str">
        <f t="shared" si="10"/>
        <v/>
      </c>
      <c r="F38" s="9" t="str">
        <f t="shared" si="10"/>
        <v/>
      </c>
      <c r="G38" s="9" t="str">
        <f t="shared" si="10"/>
        <v/>
      </c>
      <c r="H38" s="9" t="str">
        <f t="shared" si="10"/>
        <v/>
      </c>
      <c r="I38" s="9" t="str">
        <f t="shared" si="10"/>
        <v/>
      </c>
      <c r="J38" s="9"/>
      <c r="K38" s="114" t="str">
        <f t="shared" si="6"/>
        <v/>
      </c>
      <c r="L38" s="116" t="b">
        <v>0</v>
      </c>
      <c r="M38" s="9" t="str">
        <f t="shared" ref="M38:U38" si="11">if($L38=TRUE,C38,"")</f>
        <v/>
      </c>
      <c r="N38" s="9" t="str">
        <f t="shared" si="11"/>
        <v/>
      </c>
      <c r="O38" s="9" t="str">
        <f t="shared" si="11"/>
        <v/>
      </c>
      <c r="P38" s="9" t="str">
        <f t="shared" si="11"/>
        <v/>
      </c>
      <c r="Q38" s="9" t="str">
        <f t="shared" si="11"/>
        <v/>
      </c>
      <c r="R38" s="9" t="str">
        <f t="shared" si="11"/>
        <v/>
      </c>
      <c r="S38" s="9" t="str">
        <f t="shared" si="11"/>
        <v/>
      </c>
      <c r="T38" s="9" t="str">
        <f t="shared" si="11"/>
        <v/>
      </c>
      <c r="U38" s="11" t="str">
        <f t="shared" si="11"/>
        <v/>
      </c>
    </row>
    <row r="39">
      <c r="A39" s="47"/>
      <c r="B39" s="47"/>
      <c r="C39" s="42">
        <f t="shared" si="4"/>
        <v>0</v>
      </c>
      <c r="D39" s="9" t="str">
        <f t="shared" ref="D39:I39" si="12">if($C9&gt;$C$33,D9,"")</f>
        <v/>
      </c>
      <c r="E39" s="114" t="str">
        <f t="shared" si="12"/>
        <v/>
      </c>
      <c r="F39" s="9" t="str">
        <f t="shared" si="12"/>
        <v/>
      </c>
      <c r="G39" s="9" t="str">
        <f t="shared" si="12"/>
        <v/>
      </c>
      <c r="H39" s="9" t="str">
        <f t="shared" si="12"/>
        <v/>
      </c>
      <c r="I39" s="9" t="str">
        <f t="shared" si="12"/>
        <v/>
      </c>
      <c r="J39" s="9"/>
      <c r="K39" s="114" t="str">
        <f t="shared" si="6"/>
        <v/>
      </c>
      <c r="L39" s="116" t="b">
        <v>0</v>
      </c>
      <c r="M39" s="9" t="str">
        <f t="shared" ref="M39:U39" si="13">if($L39=TRUE,C39,"")</f>
        <v/>
      </c>
      <c r="N39" s="9" t="str">
        <f t="shared" si="13"/>
        <v/>
      </c>
      <c r="O39" s="9" t="str">
        <f t="shared" si="13"/>
        <v/>
      </c>
      <c r="P39" s="9" t="str">
        <f t="shared" si="13"/>
        <v/>
      </c>
      <c r="Q39" s="9" t="str">
        <f t="shared" si="13"/>
        <v/>
      </c>
      <c r="R39" s="9" t="str">
        <f t="shared" si="13"/>
        <v/>
      </c>
      <c r="S39" s="9" t="str">
        <f t="shared" si="13"/>
        <v/>
      </c>
      <c r="T39" s="9" t="str">
        <f t="shared" si="13"/>
        <v/>
      </c>
      <c r="U39" s="11" t="str">
        <f t="shared" si="13"/>
        <v/>
      </c>
    </row>
    <row r="40">
      <c r="A40" s="50"/>
      <c r="B40" s="50"/>
      <c r="C40" s="35">
        <f t="shared" si="4"/>
        <v>4</v>
      </c>
      <c r="D40" s="9" t="str">
        <f t="shared" ref="D40:I40" si="14">if($C10&gt;$C$33,D10,"")</f>
        <v>K.OA.A.5</v>
      </c>
      <c r="E40" s="114" t="str">
        <f t="shared" si="14"/>
        <v>Fluently add and subtract within 5.</v>
      </c>
      <c r="F40" s="9" t="b">
        <f t="shared" si="14"/>
        <v>1</v>
      </c>
      <c r="G40" s="9" t="b">
        <f t="shared" si="14"/>
        <v>1</v>
      </c>
      <c r="H40" s="9" t="b">
        <f t="shared" si="14"/>
        <v>1</v>
      </c>
      <c r="I40" s="9" t="b">
        <f t="shared" si="14"/>
        <v>1</v>
      </c>
      <c r="J40" s="9"/>
      <c r="K40" s="114" t="str">
        <f t="shared" si="6"/>
        <v>Fluency is the goal for OA.2</v>
      </c>
      <c r="L40" s="116" t="b">
        <v>0</v>
      </c>
      <c r="M40" s="9" t="str">
        <f t="shared" ref="M40:U40" si="15">if($L40=TRUE,C40,"")</f>
        <v/>
      </c>
      <c r="N40" s="9" t="str">
        <f t="shared" si="15"/>
        <v/>
      </c>
      <c r="O40" s="9" t="str">
        <f t="shared" si="15"/>
        <v/>
      </c>
      <c r="P40" s="9" t="str">
        <f t="shared" si="15"/>
        <v/>
      </c>
      <c r="Q40" s="9" t="str">
        <f t="shared" si="15"/>
        <v/>
      </c>
      <c r="R40" s="9" t="str">
        <f t="shared" si="15"/>
        <v/>
      </c>
      <c r="S40" s="9" t="str">
        <f t="shared" si="15"/>
        <v/>
      </c>
      <c r="T40" s="9" t="str">
        <f t="shared" si="15"/>
        <v/>
      </c>
      <c r="U40" s="11" t="str">
        <f t="shared" si="15"/>
        <v/>
      </c>
    </row>
    <row r="41">
      <c r="A41" s="85" t="s">
        <v>90</v>
      </c>
      <c r="B41" s="84" t="s">
        <v>99</v>
      </c>
      <c r="C41" s="42">
        <f t="shared" si="4"/>
        <v>0</v>
      </c>
      <c r="D41" s="9" t="str">
        <f t="shared" ref="D41:I41" si="16">if($C11&gt;$C$33,D11,"")</f>
        <v/>
      </c>
      <c r="E41" s="114" t="str">
        <f t="shared" si="16"/>
        <v/>
      </c>
      <c r="F41" s="9" t="str">
        <f t="shared" si="16"/>
        <v/>
      </c>
      <c r="G41" s="9" t="str">
        <f t="shared" si="16"/>
        <v/>
      </c>
      <c r="H41" s="9" t="str">
        <f t="shared" si="16"/>
        <v/>
      </c>
      <c r="I41" s="9" t="str">
        <f t="shared" si="16"/>
        <v/>
      </c>
      <c r="J41" s="9"/>
      <c r="K41" s="114" t="str">
        <f t="shared" si="6"/>
        <v/>
      </c>
      <c r="L41" s="122" t="b">
        <v>0</v>
      </c>
      <c r="M41" s="9" t="str">
        <f t="shared" ref="M41:U41" si="17">if($L41=TRUE,C41,"")</f>
        <v/>
      </c>
      <c r="N41" s="9" t="str">
        <f t="shared" si="17"/>
        <v/>
      </c>
      <c r="O41" s="9" t="str">
        <f t="shared" si="17"/>
        <v/>
      </c>
      <c r="P41" s="9" t="str">
        <f t="shared" si="17"/>
        <v/>
      </c>
      <c r="Q41" s="9" t="str">
        <f t="shared" si="17"/>
        <v/>
      </c>
      <c r="R41" s="9" t="str">
        <f t="shared" si="17"/>
        <v/>
      </c>
      <c r="S41" s="9" t="str">
        <f t="shared" si="17"/>
        <v/>
      </c>
      <c r="T41" s="9" t="str">
        <f t="shared" si="17"/>
        <v/>
      </c>
      <c r="U41" s="11" t="str">
        <f t="shared" si="17"/>
        <v/>
      </c>
    </row>
    <row r="42">
      <c r="A42" s="47"/>
      <c r="B42" s="47"/>
      <c r="C42" s="42">
        <f t="shared" si="4"/>
        <v>0</v>
      </c>
      <c r="D42" s="9" t="str">
        <f t="shared" ref="D42:I42" si="18">if($C12&gt;$C$33,D12,"")</f>
        <v/>
      </c>
      <c r="E42" s="114" t="str">
        <f t="shared" si="18"/>
        <v/>
      </c>
      <c r="F42" s="9" t="str">
        <f t="shared" si="18"/>
        <v/>
      </c>
      <c r="G42" s="9" t="str">
        <f t="shared" si="18"/>
        <v/>
      </c>
      <c r="H42" s="9" t="str">
        <f t="shared" si="18"/>
        <v/>
      </c>
      <c r="I42" s="9" t="str">
        <f t="shared" si="18"/>
        <v/>
      </c>
      <c r="J42" s="9"/>
      <c r="K42" s="114" t="str">
        <f t="shared" si="6"/>
        <v/>
      </c>
      <c r="L42" s="122" t="b">
        <v>0</v>
      </c>
      <c r="M42" s="9" t="str">
        <f t="shared" ref="M42:U42" si="19">if($L42=TRUE,C42,"")</f>
        <v/>
      </c>
      <c r="N42" s="9" t="str">
        <f t="shared" si="19"/>
        <v/>
      </c>
      <c r="O42" s="9" t="str">
        <f t="shared" si="19"/>
        <v/>
      </c>
      <c r="P42" s="9" t="str">
        <f t="shared" si="19"/>
        <v/>
      </c>
      <c r="Q42" s="9" t="str">
        <f t="shared" si="19"/>
        <v/>
      </c>
      <c r="R42" s="9" t="str">
        <f t="shared" si="19"/>
        <v/>
      </c>
      <c r="S42" s="9" t="str">
        <f t="shared" si="19"/>
        <v/>
      </c>
      <c r="T42" s="9" t="str">
        <f t="shared" si="19"/>
        <v/>
      </c>
      <c r="U42" s="11" t="str">
        <f t="shared" si="19"/>
        <v/>
      </c>
    </row>
    <row r="43">
      <c r="A43" s="47"/>
      <c r="B43" s="47"/>
      <c r="C43" s="42">
        <f t="shared" si="4"/>
        <v>0</v>
      </c>
      <c r="D43" s="9" t="str">
        <f t="shared" ref="D43:I43" si="20">if($C13&gt;$C$33,D13,"")</f>
        <v/>
      </c>
      <c r="E43" s="114" t="str">
        <f t="shared" si="20"/>
        <v/>
      </c>
      <c r="F43" s="9" t="str">
        <f t="shared" si="20"/>
        <v/>
      </c>
      <c r="G43" s="9" t="str">
        <f t="shared" si="20"/>
        <v/>
      </c>
      <c r="H43" s="9" t="str">
        <f t="shared" si="20"/>
        <v/>
      </c>
      <c r="I43" s="9" t="str">
        <f t="shared" si="20"/>
        <v/>
      </c>
      <c r="J43" s="9"/>
      <c r="K43" s="114" t="str">
        <f t="shared" si="6"/>
        <v/>
      </c>
      <c r="L43" s="116" t="b">
        <v>0</v>
      </c>
      <c r="M43" s="9" t="str">
        <f t="shared" ref="M43:U43" si="21">if($L43=TRUE,C43,"")</f>
        <v/>
      </c>
      <c r="N43" s="9" t="str">
        <f t="shared" si="21"/>
        <v/>
      </c>
      <c r="O43" s="9" t="str">
        <f t="shared" si="21"/>
        <v/>
      </c>
      <c r="P43" s="9" t="str">
        <f t="shared" si="21"/>
        <v/>
      </c>
      <c r="Q43" s="9" t="str">
        <f t="shared" si="21"/>
        <v/>
      </c>
      <c r="R43" s="9" t="str">
        <f t="shared" si="21"/>
        <v/>
      </c>
      <c r="S43" s="9" t="str">
        <f t="shared" si="21"/>
        <v/>
      </c>
      <c r="T43" s="9" t="str">
        <f t="shared" si="21"/>
        <v/>
      </c>
      <c r="U43" s="11" t="str">
        <f t="shared" si="21"/>
        <v/>
      </c>
    </row>
    <row r="44">
      <c r="A44" s="47"/>
      <c r="B44" s="50"/>
      <c r="C44" s="35">
        <f t="shared" si="4"/>
        <v>0</v>
      </c>
      <c r="D44" s="9" t="str">
        <f t="shared" ref="D44:I44" si="22">if($C14&gt;$C$33,D14,"")</f>
        <v/>
      </c>
      <c r="E44" s="114" t="str">
        <f t="shared" si="22"/>
        <v/>
      </c>
      <c r="F44" s="9" t="str">
        <f t="shared" si="22"/>
        <v/>
      </c>
      <c r="G44" s="9" t="str">
        <f t="shared" si="22"/>
        <v/>
      </c>
      <c r="H44" s="9" t="str">
        <f t="shared" si="22"/>
        <v/>
      </c>
      <c r="I44" s="9" t="str">
        <f t="shared" si="22"/>
        <v/>
      </c>
      <c r="J44" s="9"/>
      <c r="K44" s="114" t="str">
        <f t="shared" si="6"/>
        <v/>
      </c>
      <c r="L44" s="116" t="b">
        <v>0</v>
      </c>
      <c r="M44" s="9" t="str">
        <f t="shared" ref="M44:U44" si="23">if($L44=TRUE,C44,"")</f>
        <v/>
      </c>
      <c r="N44" s="9" t="str">
        <f t="shared" si="23"/>
        <v/>
      </c>
      <c r="O44" s="9" t="str">
        <f t="shared" si="23"/>
        <v/>
      </c>
      <c r="P44" s="9" t="str">
        <f t="shared" si="23"/>
        <v/>
      </c>
      <c r="Q44" s="9" t="str">
        <f t="shared" si="23"/>
        <v/>
      </c>
      <c r="R44" s="9" t="str">
        <f t="shared" si="23"/>
        <v/>
      </c>
      <c r="S44" s="9" t="str">
        <f t="shared" si="23"/>
        <v/>
      </c>
      <c r="T44" s="9" t="str">
        <f t="shared" si="23"/>
        <v/>
      </c>
      <c r="U44" s="11" t="str">
        <f t="shared" si="23"/>
        <v/>
      </c>
    </row>
    <row r="45">
      <c r="A45" s="47"/>
      <c r="B45" s="92" t="s">
        <v>128</v>
      </c>
      <c r="C45" s="42">
        <f t="shared" si="4"/>
        <v>4</v>
      </c>
      <c r="D45" s="9" t="str">
        <f t="shared" ref="D45:I45" si="24">if($C15&gt;$C$33,D15,"")</f>
        <v>K.G.B.4</v>
      </c>
      <c r="E45" s="114" t="str">
        <f t="shared" si="24"/>
        <v>Analyze and compare two- and three dimensional shapes, in different sizes and orientations, using informal language to describe their similarities, differences, parts (e.g., number of sides and vertices/“corners”) and other attributes (e.g., having sides of equal length).</v>
      </c>
      <c r="F45" s="9" t="b">
        <f t="shared" si="24"/>
        <v>1</v>
      </c>
      <c r="G45" s="9" t="b">
        <f t="shared" si="24"/>
        <v>1</v>
      </c>
      <c r="H45" s="9" t="b">
        <f t="shared" si="24"/>
        <v>1</v>
      </c>
      <c r="I45" s="9" t="b">
        <f t="shared" si="24"/>
        <v>1</v>
      </c>
      <c r="J45" s="9"/>
      <c r="K45" s="114" t="str">
        <f t="shared" si="6"/>
        <v>Umbrella standard: students will be able to do:
KGA2
KGA3
as a result of mastery
Naming 2D &amp; 3D shapes is assessed on report card</v>
      </c>
      <c r="L45" s="122" t="b">
        <v>0</v>
      </c>
      <c r="M45" s="9" t="str">
        <f t="shared" ref="M45:U45" si="25">if($L45=TRUE,C45,"")</f>
        <v/>
      </c>
      <c r="N45" s="9" t="str">
        <f t="shared" si="25"/>
        <v/>
      </c>
      <c r="O45" s="9" t="str">
        <f t="shared" si="25"/>
        <v/>
      </c>
      <c r="P45" s="9" t="str">
        <f t="shared" si="25"/>
        <v/>
      </c>
      <c r="Q45" s="9" t="str">
        <f t="shared" si="25"/>
        <v/>
      </c>
      <c r="R45" s="9" t="str">
        <f t="shared" si="25"/>
        <v/>
      </c>
      <c r="S45" s="9" t="str">
        <f t="shared" si="25"/>
        <v/>
      </c>
      <c r="T45" s="9" t="str">
        <f t="shared" si="25"/>
        <v/>
      </c>
      <c r="U45" s="11" t="str">
        <f t="shared" si="25"/>
        <v/>
      </c>
    </row>
    <row r="46">
      <c r="A46" s="47"/>
      <c r="B46" s="47"/>
      <c r="C46" s="42">
        <f t="shared" si="4"/>
        <v>0</v>
      </c>
      <c r="D46" s="9" t="str">
        <f t="shared" ref="D46:I46" si="26">if($C16&gt;$C$33,D16,"")</f>
        <v/>
      </c>
      <c r="E46" s="114" t="str">
        <f t="shared" si="26"/>
        <v/>
      </c>
      <c r="F46" s="9" t="str">
        <f t="shared" si="26"/>
        <v/>
      </c>
      <c r="G46" s="9" t="str">
        <f t="shared" si="26"/>
        <v/>
      </c>
      <c r="H46" s="9" t="str">
        <f t="shared" si="26"/>
        <v/>
      </c>
      <c r="I46" s="9" t="str">
        <f t="shared" si="26"/>
        <v/>
      </c>
      <c r="J46" s="9"/>
      <c r="K46" s="114" t="str">
        <f t="shared" si="6"/>
        <v/>
      </c>
      <c r="L46" s="122" t="b">
        <v>0</v>
      </c>
      <c r="M46" s="9" t="str">
        <f t="shared" ref="M46:U46" si="27">if($L46=TRUE,C46,"")</f>
        <v/>
      </c>
      <c r="N46" s="9" t="str">
        <f t="shared" si="27"/>
        <v/>
      </c>
      <c r="O46" s="9" t="str">
        <f t="shared" si="27"/>
        <v/>
      </c>
      <c r="P46" s="9" t="str">
        <f t="shared" si="27"/>
        <v/>
      </c>
      <c r="Q46" s="9" t="str">
        <f t="shared" si="27"/>
        <v/>
      </c>
      <c r="R46" s="9" t="str">
        <f t="shared" si="27"/>
        <v/>
      </c>
      <c r="S46" s="9" t="str">
        <f t="shared" si="27"/>
        <v/>
      </c>
      <c r="T46" s="9" t="str">
        <f t="shared" si="27"/>
        <v/>
      </c>
      <c r="U46" s="11" t="str">
        <f t="shared" si="27"/>
        <v/>
      </c>
    </row>
    <row r="47">
      <c r="A47" s="50"/>
      <c r="B47" s="50"/>
      <c r="C47" s="35">
        <f t="shared" si="4"/>
        <v>0</v>
      </c>
      <c r="D47" s="9" t="str">
        <f t="shared" ref="D47:I47" si="28">if($C17&gt;$C$33,D17,"")</f>
        <v/>
      </c>
      <c r="E47" s="114" t="str">
        <f t="shared" si="28"/>
        <v/>
      </c>
      <c r="F47" s="9" t="str">
        <f t="shared" si="28"/>
        <v/>
      </c>
      <c r="G47" s="9" t="str">
        <f t="shared" si="28"/>
        <v/>
      </c>
      <c r="H47" s="9" t="str">
        <f t="shared" si="28"/>
        <v/>
      </c>
      <c r="I47" s="9" t="str">
        <f t="shared" si="28"/>
        <v/>
      </c>
      <c r="J47" s="9"/>
      <c r="K47" s="114" t="str">
        <f t="shared" si="6"/>
        <v/>
      </c>
      <c r="L47" s="122" t="b">
        <v>0</v>
      </c>
      <c r="M47" s="9" t="str">
        <f t="shared" ref="M47:U47" si="29">if($L47=TRUE,C47,"")</f>
        <v/>
      </c>
      <c r="N47" s="9" t="str">
        <f t="shared" si="29"/>
        <v/>
      </c>
      <c r="O47" s="9" t="str">
        <f t="shared" si="29"/>
        <v/>
      </c>
      <c r="P47" s="9" t="str">
        <f t="shared" si="29"/>
        <v/>
      </c>
      <c r="Q47" s="9" t="str">
        <f t="shared" si="29"/>
        <v/>
      </c>
      <c r="R47" s="9" t="str">
        <f t="shared" si="29"/>
        <v/>
      </c>
      <c r="S47" s="9" t="str">
        <f t="shared" si="29"/>
        <v/>
      </c>
      <c r="T47" s="9" t="str">
        <f t="shared" si="29"/>
        <v/>
      </c>
      <c r="U47" s="11" t="str">
        <f t="shared" si="29"/>
        <v/>
      </c>
    </row>
    <row r="48">
      <c r="A48" s="94" t="s">
        <v>124</v>
      </c>
      <c r="B48" s="91" t="s">
        <v>160</v>
      </c>
      <c r="C48" s="42">
        <f t="shared" si="4"/>
        <v>0</v>
      </c>
      <c r="D48" s="9" t="str">
        <f t="shared" ref="D48:I48" si="30">if($C18&gt;$C$33,D18,"")</f>
        <v/>
      </c>
      <c r="E48" s="114" t="str">
        <f t="shared" si="30"/>
        <v/>
      </c>
      <c r="F48" s="9" t="str">
        <f t="shared" si="30"/>
        <v/>
      </c>
      <c r="G48" s="9" t="str">
        <f t="shared" si="30"/>
        <v/>
      </c>
      <c r="H48" s="9" t="str">
        <f t="shared" si="30"/>
        <v/>
      </c>
      <c r="I48" s="9" t="str">
        <f t="shared" si="30"/>
        <v/>
      </c>
      <c r="J48" s="9"/>
      <c r="K48" s="114" t="str">
        <f t="shared" si="6"/>
        <v/>
      </c>
      <c r="L48" s="122" t="b">
        <v>0</v>
      </c>
      <c r="M48" s="9" t="str">
        <f t="shared" ref="M48:U48" si="31">if($L48=TRUE,C48,"")</f>
        <v/>
      </c>
      <c r="N48" s="9" t="str">
        <f t="shared" si="31"/>
        <v/>
      </c>
      <c r="O48" s="9" t="str">
        <f t="shared" si="31"/>
        <v/>
      </c>
      <c r="P48" s="9" t="str">
        <f t="shared" si="31"/>
        <v/>
      </c>
      <c r="Q48" s="9" t="str">
        <f t="shared" si="31"/>
        <v/>
      </c>
      <c r="R48" s="9" t="str">
        <f t="shared" si="31"/>
        <v/>
      </c>
      <c r="S48" s="9" t="str">
        <f t="shared" si="31"/>
        <v/>
      </c>
      <c r="T48" s="9" t="str">
        <f t="shared" si="31"/>
        <v/>
      </c>
      <c r="U48" s="11" t="str">
        <f t="shared" si="31"/>
        <v/>
      </c>
    </row>
    <row r="49">
      <c r="A49" s="47"/>
      <c r="B49" s="50"/>
      <c r="C49" s="35">
        <f t="shared" si="4"/>
        <v>0</v>
      </c>
      <c r="D49" s="9" t="str">
        <f t="shared" ref="D49:I49" si="32">if($C19&gt;$C$33,D19,"")</f>
        <v/>
      </c>
      <c r="E49" s="114" t="str">
        <f t="shared" si="32"/>
        <v/>
      </c>
      <c r="F49" s="9" t="str">
        <f t="shared" si="32"/>
        <v/>
      </c>
      <c r="G49" s="9" t="str">
        <f t="shared" si="32"/>
        <v/>
      </c>
      <c r="H49" s="9" t="str">
        <f t="shared" si="32"/>
        <v/>
      </c>
      <c r="I49" s="9" t="str">
        <f t="shared" si="32"/>
        <v/>
      </c>
      <c r="J49" s="9"/>
      <c r="K49" s="114" t="str">
        <f t="shared" si="6"/>
        <v/>
      </c>
      <c r="L49" s="122" t="b">
        <v>0</v>
      </c>
      <c r="M49" s="9" t="str">
        <f t="shared" ref="M49:U49" si="33">if($L49=TRUE,C49,"")</f>
        <v/>
      </c>
      <c r="N49" s="9" t="str">
        <f t="shared" si="33"/>
        <v/>
      </c>
      <c r="O49" s="9" t="str">
        <f t="shared" si="33"/>
        <v/>
      </c>
      <c r="P49" s="9" t="str">
        <f t="shared" si="33"/>
        <v/>
      </c>
      <c r="Q49" s="9" t="str">
        <f t="shared" si="33"/>
        <v/>
      </c>
      <c r="R49" s="9" t="str">
        <f t="shared" si="33"/>
        <v/>
      </c>
      <c r="S49" s="9" t="str">
        <f t="shared" si="33"/>
        <v/>
      </c>
      <c r="T49" s="9" t="str">
        <f t="shared" si="33"/>
        <v/>
      </c>
      <c r="U49" s="11" t="str">
        <f t="shared" si="33"/>
        <v/>
      </c>
    </row>
    <row r="50">
      <c r="A50" s="50"/>
      <c r="B50" s="93" t="s">
        <v>171</v>
      </c>
      <c r="C50" s="35">
        <f t="shared" si="4"/>
        <v>4</v>
      </c>
      <c r="D50" s="9" t="str">
        <f t="shared" ref="D50:I50" si="34">if($C20&gt;$C$33,D20,"")</f>
        <v>K.MD.B.3</v>
      </c>
      <c r="E50" s="114" t="str">
        <f t="shared" si="34"/>
        <v>Classify objects into given categories; count the numbers of objects in each category and sort the categories by count.</v>
      </c>
      <c r="F50" s="9" t="b">
        <f t="shared" si="34"/>
        <v>1</v>
      </c>
      <c r="G50" s="9" t="b">
        <f t="shared" si="34"/>
        <v>1</v>
      </c>
      <c r="H50" s="9" t="b">
        <f t="shared" si="34"/>
        <v>1</v>
      </c>
      <c r="I50" s="9" t="b">
        <f t="shared" si="34"/>
        <v>1</v>
      </c>
      <c r="J50" s="9"/>
      <c r="K50" s="114" t="str">
        <f t="shared" si="6"/>
        <v>First part of the standard is assessed. Foundational understanding of how to sort and classify objects- could be taught in all subject areas</v>
      </c>
      <c r="L50" s="116" t="b">
        <v>0</v>
      </c>
      <c r="M50" s="9" t="str">
        <f t="shared" ref="M50:U50" si="35">if($L50=TRUE,C50,"")</f>
        <v/>
      </c>
      <c r="N50" s="9" t="str">
        <f t="shared" si="35"/>
        <v/>
      </c>
      <c r="O50" s="9" t="str">
        <f t="shared" si="35"/>
        <v/>
      </c>
      <c r="P50" s="9" t="str">
        <f t="shared" si="35"/>
        <v/>
      </c>
      <c r="Q50" s="9" t="str">
        <f t="shared" si="35"/>
        <v/>
      </c>
      <c r="R50" s="9" t="str">
        <f t="shared" si="35"/>
        <v/>
      </c>
      <c r="S50" s="9" t="str">
        <f t="shared" si="35"/>
        <v/>
      </c>
      <c r="T50" s="9" t="str">
        <f t="shared" si="35"/>
        <v/>
      </c>
      <c r="U50" s="11" t="str">
        <f t="shared" si="35"/>
        <v/>
      </c>
    </row>
    <row r="51">
      <c r="A51" s="99" t="s">
        <v>178</v>
      </c>
      <c r="B51" s="101" t="s">
        <v>182</v>
      </c>
      <c r="C51" s="42">
        <f t="shared" si="4"/>
        <v>4</v>
      </c>
      <c r="D51" s="9" t="str">
        <f t="shared" ref="D51:I51" si="36">if($C21&gt;$C$33,D21,"")</f>
        <v>K.CC.A.1</v>
      </c>
      <c r="E51" s="114" t="str">
        <f t="shared" si="36"/>
        <v>Count to 100 by ones and by tens.</v>
      </c>
      <c r="F51" s="9" t="b">
        <f t="shared" si="36"/>
        <v>1</v>
      </c>
      <c r="G51" s="9" t="b">
        <f t="shared" si="36"/>
        <v>1</v>
      </c>
      <c r="H51" s="9" t="b">
        <f t="shared" si="36"/>
        <v>1</v>
      </c>
      <c r="I51" s="9" t="b">
        <f t="shared" si="36"/>
        <v>1</v>
      </c>
      <c r="J51" s="9"/>
      <c r="K51" s="114" t="str">
        <f t="shared" si="6"/>
        <v>Foundational for math skills </v>
      </c>
      <c r="L51" s="116" t="b">
        <v>0</v>
      </c>
      <c r="M51" s="9" t="str">
        <f t="shared" ref="M51:U51" si="37">if($L51=TRUE,C51,"")</f>
        <v/>
      </c>
      <c r="N51" s="9" t="str">
        <f t="shared" si="37"/>
        <v/>
      </c>
      <c r="O51" s="9" t="str">
        <f t="shared" si="37"/>
        <v/>
      </c>
      <c r="P51" s="9" t="str">
        <f t="shared" si="37"/>
        <v/>
      </c>
      <c r="Q51" s="9" t="str">
        <f t="shared" si="37"/>
        <v/>
      </c>
      <c r="R51" s="9" t="str">
        <f t="shared" si="37"/>
        <v/>
      </c>
      <c r="S51" s="9" t="str">
        <f t="shared" si="37"/>
        <v/>
      </c>
      <c r="T51" s="9" t="str">
        <f t="shared" si="37"/>
        <v/>
      </c>
      <c r="U51" s="11" t="str">
        <f t="shared" si="37"/>
        <v/>
      </c>
    </row>
    <row r="52">
      <c r="A52" s="47"/>
      <c r="B52" s="47"/>
      <c r="C52" s="42">
        <f t="shared" si="4"/>
        <v>0</v>
      </c>
      <c r="D52" s="9" t="str">
        <f t="shared" ref="D52:I52" si="38">if($C22&gt;$C$33,D22,"")</f>
        <v/>
      </c>
      <c r="E52" s="114" t="str">
        <f t="shared" si="38"/>
        <v/>
      </c>
      <c r="F52" s="9" t="str">
        <f t="shared" si="38"/>
        <v/>
      </c>
      <c r="G52" s="9" t="str">
        <f t="shared" si="38"/>
        <v/>
      </c>
      <c r="H52" s="9" t="str">
        <f t="shared" si="38"/>
        <v/>
      </c>
      <c r="I52" s="9" t="str">
        <f t="shared" si="38"/>
        <v/>
      </c>
      <c r="J52" s="9"/>
      <c r="K52" s="114" t="str">
        <f t="shared" si="6"/>
        <v/>
      </c>
      <c r="L52" s="122" t="b">
        <v>0</v>
      </c>
      <c r="M52" s="9" t="str">
        <f t="shared" ref="M52:U52" si="39">if($L52=TRUE,C52,"")</f>
        <v/>
      </c>
      <c r="N52" s="9" t="str">
        <f t="shared" si="39"/>
        <v/>
      </c>
      <c r="O52" s="9" t="str">
        <f t="shared" si="39"/>
        <v/>
      </c>
      <c r="P52" s="9" t="str">
        <f t="shared" si="39"/>
        <v/>
      </c>
      <c r="Q52" s="9" t="str">
        <f t="shared" si="39"/>
        <v/>
      </c>
      <c r="R52" s="9" t="str">
        <f t="shared" si="39"/>
        <v/>
      </c>
      <c r="S52" s="9" t="str">
        <f t="shared" si="39"/>
        <v/>
      </c>
      <c r="T52" s="9" t="str">
        <f t="shared" si="39"/>
        <v/>
      </c>
      <c r="U52" s="11" t="str">
        <f t="shared" si="39"/>
        <v/>
      </c>
    </row>
    <row r="53">
      <c r="A53" s="47"/>
      <c r="B53" s="50"/>
      <c r="C53" s="35">
        <f t="shared" si="4"/>
        <v>4</v>
      </c>
      <c r="D53" s="9" t="str">
        <f t="shared" ref="D53:I53" si="40">if($C23&gt;$C$33,D23,"")</f>
        <v>K.CC.A.3</v>
      </c>
      <c r="E53" s="114" t="str">
        <f t="shared" si="40"/>
        <v>Write numbers from 0 to 20. Represent a number of objects with a written numeral 0–20 (with 0 representing a count of no objects).</v>
      </c>
      <c r="F53" s="9" t="b">
        <f t="shared" si="40"/>
        <v>1</v>
      </c>
      <c r="G53" s="9" t="b">
        <f t="shared" si="40"/>
        <v>1</v>
      </c>
      <c r="H53" s="9" t="b">
        <f t="shared" si="40"/>
        <v>1</v>
      </c>
      <c r="I53" s="9" t="b">
        <f t="shared" si="40"/>
        <v>1</v>
      </c>
      <c r="J53" s="9"/>
      <c r="K53" s="114" t="str">
        <f t="shared" si="6"/>
        <v>Required for representing numbers</v>
      </c>
      <c r="L53" s="116" t="b">
        <v>0</v>
      </c>
      <c r="M53" s="9" t="str">
        <f t="shared" ref="M53:U53" si="41">if($L53=TRUE,C53,"")</f>
        <v/>
      </c>
      <c r="N53" s="9" t="str">
        <f t="shared" si="41"/>
        <v/>
      </c>
      <c r="O53" s="9" t="str">
        <f t="shared" si="41"/>
        <v/>
      </c>
      <c r="P53" s="9" t="str">
        <f t="shared" si="41"/>
        <v/>
      </c>
      <c r="Q53" s="9" t="str">
        <f t="shared" si="41"/>
        <v/>
      </c>
      <c r="R53" s="9" t="str">
        <f t="shared" si="41"/>
        <v/>
      </c>
      <c r="S53" s="9" t="str">
        <f t="shared" si="41"/>
        <v/>
      </c>
      <c r="T53" s="9" t="str">
        <f t="shared" si="41"/>
        <v/>
      </c>
      <c r="U53" s="11" t="str">
        <f t="shared" si="41"/>
        <v/>
      </c>
    </row>
    <row r="54">
      <c r="A54" s="47"/>
      <c r="B54" s="106" t="s">
        <v>203</v>
      </c>
      <c r="C54" s="42">
        <f t="shared" si="4"/>
        <v>0</v>
      </c>
      <c r="D54" s="9" t="str">
        <f t="shared" ref="D54:I54" si="42">if($C24&gt;$C$33,D24,"")</f>
        <v/>
      </c>
      <c r="E54" s="114" t="str">
        <f t="shared" si="42"/>
        <v/>
      </c>
      <c r="F54" s="9" t="str">
        <f t="shared" si="42"/>
        <v/>
      </c>
      <c r="G54" s="9" t="str">
        <f t="shared" si="42"/>
        <v/>
      </c>
      <c r="H54" s="9" t="str">
        <f t="shared" si="42"/>
        <v/>
      </c>
      <c r="I54" s="9" t="str">
        <f t="shared" si="42"/>
        <v/>
      </c>
      <c r="J54" s="9"/>
      <c r="K54" s="114" t="str">
        <f t="shared" si="6"/>
        <v/>
      </c>
      <c r="L54" s="116" t="b">
        <v>0</v>
      </c>
      <c r="M54" s="9" t="str">
        <f t="shared" ref="M54:U54" si="43">if($L54=TRUE,C54,"")</f>
        <v/>
      </c>
      <c r="N54" s="9" t="str">
        <f t="shared" si="43"/>
        <v/>
      </c>
      <c r="O54" s="9" t="str">
        <f t="shared" si="43"/>
        <v/>
      </c>
      <c r="P54" s="9" t="str">
        <f t="shared" si="43"/>
        <v/>
      </c>
      <c r="Q54" s="9" t="str">
        <f t="shared" si="43"/>
        <v/>
      </c>
      <c r="R54" s="9" t="str">
        <f t="shared" si="43"/>
        <v/>
      </c>
      <c r="S54" s="9" t="str">
        <f t="shared" si="43"/>
        <v/>
      </c>
      <c r="T54" s="9" t="str">
        <f t="shared" si="43"/>
        <v/>
      </c>
      <c r="U54" s="11" t="str">
        <f t="shared" si="43"/>
        <v/>
      </c>
    </row>
    <row r="55">
      <c r="A55" s="47"/>
      <c r="B55" s="47"/>
      <c r="C55" s="42">
        <f t="shared" si="4"/>
        <v>4</v>
      </c>
      <c r="D55" s="9" t="str">
        <f t="shared" ref="D55:I55" si="44">if($C25&gt;$C$33,D25,"")</f>
        <v>K.CC.B.4a</v>
      </c>
      <c r="E55" s="114" t="str">
        <f t="shared" si="44"/>
        <v>When counting objects, say the number names in the standard order, pairing each object with one and only one number name and each number name with one and only one object.</v>
      </c>
      <c r="F55" s="9" t="b">
        <f t="shared" si="44"/>
        <v>1</v>
      </c>
      <c r="G55" s="9" t="b">
        <f t="shared" si="44"/>
        <v>1</v>
      </c>
      <c r="H55" s="9" t="b">
        <f t="shared" si="44"/>
        <v>1</v>
      </c>
      <c r="I55" s="9" t="b">
        <f t="shared" si="44"/>
        <v>1</v>
      </c>
      <c r="J55" s="9"/>
      <c r="K55" s="114" t="str">
        <f t="shared" si="6"/>
        <v>Essential for students to add and subtract using a model</v>
      </c>
      <c r="L55" s="122" t="b">
        <v>0</v>
      </c>
      <c r="M55" s="9" t="str">
        <f t="shared" ref="M55:U55" si="45">if($L55=TRUE,C55,"")</f>
        <v/>
      </c>
      <c r="N55" s="9" t="str">
        <f t="shared" si="45"/>
        <v/>
      </c>
      <c r="O55" s="9" t="str">
        <f t="shared" si="45"/>
        <v/>
      </c>
      <c r="P55" s="9" t="str">
        <f t="shared" si="45"/>
        <v/>
      </c>
      <c r="Q55" s="9" t="str">
        <f t="shared" si="45"/>
        <v/>
      </c>
      <c r="R55" s="9" t="str">
        <f t="shared" si="45"/>
        <v/>
      </c>
      <c r="S55" s="9" t="str">
        <f t="shared" si="45"/>
        <v/>
      </c>
      <c r="T55" s="9" t="str">
        <f t="shared" si="45"/>
        <v/>
      </c>
      <c r="U55" s="11" t="str">
        <f t="shared" si="45"/>
        <v/>
      </c>
    </row>
    <row r="56">
      <c r="A56" s="47"/>
      <c r="B56" s="47"/>
      <c r="C56" s="42">
        <f t="shared" si="4"/>
        <v>0</v>
      </c>
      <c r="D56" s="9" t="str">
        <f t="shared" ref="D56:I56" si="46">if($C26&gt;$C$33,D26,"")</f>
        <v/>
      </c>
      <c r="E56" s="114" t="str">
        <f t="shared" si="46"/>
        <v/>
      </c>
      <c r="F56" s="9" t="str">
        <f t="shared" si="46"/>
        <v/>
      </c>
      <c r="G56" s="9" t="str">
        <f t="shared" si="46"/>
        <v/>
      </c>
      <c r="H56" s="9" t="str">
        <f t="shared" si="46"/>
        <v/>
      </c>
      <c r="I56" s="9" t="str">
        <f t="shared" si="46"/>
        <v/>
      </c>
      <c r="J56" s="9"/>
      <c r="K56" s="114" t="str">
        <f t="shared" si="6"/>
        <v/>
      </c>
      <c r="L56" s="116" t="b">
        <v>0</v>
      </c>
      <c r="M56" s="9" t="str">
        <f t="shared" ref="M56:U56" si="47">if($L56=TRUE,C56,"")</f>
        <v/>
      </c>
      <c r="N56" s="9" t="str">
        <f t="shared" si="47"/>
        <v/>
      </c>
      <c r="O56" s="9" t="str">
        <f t="shared" si="47"/>
        <v/>
      </c>
      <c r="P56" s="9" t="str">
        <f t="shared" si="47"/>
        <v/>
      </c>
      <c r="Q56" s="9" t="str">
        <f t="shared" si="47"/>
        <v/>
      </c>
      <c r="R56" s="9" t="str">
        <f t="shared" si="47"/>
        <v/>
      </c>
      <c r="S56" s="9" t="str">
        <f t="shared" si="47"/>
        <v/>
      </c>
      <c r="T56" s="9" t="str">
        <f t="shared" si="47"/>
        <v/>
      </c>
      <c r="U56" s="11" t="str">
        <f t="shared" si="47"/>
        <v/>
      </c>
    </row>
    <row r="57">
      <c r="A57" s="47"/>
      <c r="B57" s="47"/>
      <c r="C57" s="42">
        <f t="shared" si="4"/>
        <v>0</v>
      </c>
      <c r="D57" s="9" t="str">
        <f t="shared" ref="D57:I57" si="48">if($C27&gt;$C$33,D27,"")</f>
        <v/>
      </c>
      <c r="E57" s="114" t="str">
        <f t="shared" si="48"/>
        <v/>
      </c>
      <c r="F57" s="9" t="str">
        <f t="shared" si="48"/>
        <v/>
      </c>
      <c r="G57" s="9" t="str">
        <f t="shared" si="48"/>
        <v/>
      </c>
      <c r="H57" s="9" t="str">
        <f t="shared" si="48"/>
        <v/>
      </c>
      <c r="I57" s="9" t="str">
        <f t="shared" si="48"/>
        <v/>
      </c>
      <c r="J57" s="9"/>
      <c r="K57" s="114" t="str">
        <f t="shared" si="6"/>
        <v/>
      </c>
      <c r="L57" s="122" t="b">
        <v>0</v>
      </c>
      <c r="M57" s="9" t="str">
        <f t="shared" ref="M57:U57" si="49">if($L57=TRUE,C57,"")</f>
        <v/>
      </c>
      <c r="N57" s="9" t="str">
        <f t="shared" si="49"/>
        <v/>
      </c>
      <c r="O57" s="9" t="str">
        <f t="shared" si="49"/>
        <v/>
      </c>
      <c r="P57" s="9" t="str">
        <f t="shared" si="49"/>
        <v/>
      </c>
      <c r="Q57" s="9" t="str">
        <f t="shared" si="49"/>
        <v/>
      </c>
      <c r="R57" s="9" t="str">
        <f t="shared" si="49"/>
        <v/>
      </c>
      <c r="S57" s="9" t="str">
        <f t="shared" si="49"/>
        <v/>
      </c>
      <c r="T57" s="9" t="str">
        <f t="shared" si="49"/>
        <v/>
      </c>
      <c r="U57" s="11" t="str">
        <f t="shared" si="49"/>
        <v/>
      </c>
    </row>
    <row r="58">
      <c r="A58" s="47"/>
      <c r="B58" s="50"/>
      <c r="C58" s="35">
        <f t="shared" si="4"/>
        <v>0</v>
      </c>
      <c r="D58" s="9" t="str">
        <f t="shared" ref="D58:I58" si="50">if($C28&gt;$C$33,D28,"")</f>
        <v/>
      </c>
      <c r="E58" s="114" t="str">
        <f t="shared" si="50"/>
        <v/>
      </c>
      <c r="F58" s="9" t="str">
        <f t="shared" si="50"/>
        <v/>
      </c>
      <c r="G58" s="9" t="str">
        <f t="shared" si="50"/>
        <v/>
      </c>
      <c r="H58" s="9" t="str">
        <f t="shared" si="50"/>
        <v/>
      </c>
      <c r="I58" s="9" t="str">
        <f t="shared" si="50"/>
        <v/>
      </c>
      <c r="J58" s="9"/>
      <c r="K58" s="114" t="str">
        <f t="shared" si="6"/>
        <v/>
      </c>
      <c r="L58" s="122" t="b">
        <v>0</v>
      </c>
      <c r="M58" s="9" t="str">
        <f t="shared" ref="M58:U58" si="51">if($L58=TRUE,C58,"")</f>
        <v/>
      </c>
      <c r="N58" s="9" t="str">
        <f t="shared" si="51"/>
        <v/>
      </c>
      <c r="O58" s="9" t="str">
        <f t="shared" si="51"/>
        <v/>
      </c>
      <c r="P58" s="9" t="str">
        <f t="shared" si="51"/>
        <v/>
      </c>
      <c r="Q58" s="9" t="str">
        <f t="shared" si="51"/>
        <v/>
      </c>
      <c r="R58" s="9" t="str">
        <f t="shared" si="51"/>
        <v/>
      </c>
      <c r="S58" s="9" t="str">
        <f t="shared" si="51"/>
        <v/>
      </c>
      <c r="T58" s="9" t="str">
        <f t="shared" si="51"/>
        <v/>
      </c>
      <c r="U58" s="11" t="str">
        <f t="shared" si="51"/>
        <v/>
      </c>
    </row>
    <row r="59">
      <c r="A59" s="47"/>
      <c r="B59" s="113" t="s">
        <v>236</v>
      </c>
      <c r="C59" s="42">
        <f t="shared" si="4"/>
        <v>0</v>
      </c>
      <c r="D59" s="9" t="str">
        <f t="shared" ref="D59:I59" si="52">if($C29&gt;$C$33,D29,"")</f>
        <v/>
      </c>
      <c r="E59" s="114" t="str">
        <f t="shared" si="52"/>
        <v/>
      </c>
      <c r="F59" s="9" t="str">
        <f t="shared" si="52"/>
        <v/>
      </c>
      <c r="G59" s="9" t="str">
        <f t="shared" si="52"/>
        <v/>
      </c>
      <c r="H59" s="9" t="str">
        <f t="shared" si="52"/>
        <v/>
      </c>
      <c r="I59" s="9" t="str">
        <f t="shared" si="52"/>
        <v/>
      </c>
      <c r="J59" s="9"/>
      <c r="K59" s="114" t="str">
        <f t="shared" si="6"/>
        <v/>
      </c>
      <c r="L59" s="122" t="b">
        <v>0</v>
      </c>
      <c r="M59" s="9" t="str">
        <f t="shared" ref="M59:U59" si="53">if($L59=TRUE,C59,"")</f>
        <v/>
      </c>
      <c r="N59" s="9" t="str">
        <f t="shared" si="53"/>
        <v/>
      </c>
      <c r="O59" s="9" t="str">
        <f t="shared" si="53"/>
        <v/>
      </c>
      <c r="P59" s="9" t="str">
        <f t="shared" si="53"/>
        <v/>
      </c>
      <c r="Q59" s="9" t="str">
        <f t="shared" si="53"/>
        <v/>
      </c>
      <c r="R59" s="9" t="str">
        <f t="shared" si="53"/>
        <v/>
      </c>
      <c r="S59" s="9" t="str">
        <f t="shared" si="53"/>
        <v/>
      </c>
      <c r="T59" s="9" t="str">
        <f t="shared" si="53"/>
        <v/>
      </c>
      <c r="U59" s="11" t="str">
        <f t="shared" si="53"/>
        <v/>
      </c>
    </row>
    <row r="60">
      <c r="A60" s="50"/>
      <c r="B60" s="50"/>
      <c r="C60" s="42">
        <f t="shared" si="4"/>
        <v>0</v>
      </c>
      <c r="D60" s="9" t="str">
        <f t="shared" ref="D60:I60" si="54">if($C30&gt;$C$33,D30,"")</f>
        <v/>
      </c>
      <c r="E60" s="114" t="str">
        <f t="shared" si="54"/>
        <v/>
      </c>
      <c r="F60" s="9" t="str">
        <f t="shared" si="54"/>
        <v/>
      </c>
      <c r="G60" s="9" t="str">
        <f t="shared" si="54"/>
        <v/>
      </c>
      <c r="H60" s="9" t="str">
        <f t="shared" si="54"/>
        <v/>
      </c>
      <c r="I60" s="9" t="str">
        <f t="shared" si="54"/>
        <v/>
      </c>
      <c r="J60" s="9"/>
      <c r="K60" s="114" t="str">
        <f t="shared" si="6"/>
        <v/>
      </c>
      <c r="L60" s="116" t="b">
        <v>0</v>
      </c>
      <c r="M60" s="9" t="str">
        <f t="shared" ref="M60:U60" si="55">if($L60=TRUE,C60,"")</f>
        <v/>
      </c>
      <c r="N60" s="9" t="str">
        <f t="shared" si="55"/>
        <v/>
      </c>
      <c r="O60" s="9" t="str">
        <f t="shared" si="55"/>
        <v/>
      </c>
      <c r="P60" s="9" t="str">
        <f t="shared" si="55"/>
        <v/>
      </c>
      <c r="Q60" s="9" t="str">
        <f t="shared" si="55"/>
        <v/>
      </c>
      <c r="R60" s="9" t="str">
        <f t="shared" si="55"/>
        <v/>
      </c>
      <c r="S60" s="9" t="str">
        <f t="shared" si="55"/>
        <v/>
      </c>
      <c r="T60" s="9" t="str">
        <f t="shared" si="55"/>
        <v/>
      </c>
      <c r="U60" s="11" t="str">
        <f t="shared" si="55"/>
        <v/>
      </c>
    </row>
  </sheetData>
  <mergeCells count="30">
    <mergeCell ref="A2:B2"/>
    <mergeCell ref="C2:K2"/>
    <mergeCell ref="A3:K3"/>
    <mergeCell ref="A4:B4"/>
    <mergeCell ref="A6:A10"/>
    <mergeCell ref="B6:B10"/>
    <mergeCell ref="A11:A17"/>
    <mergeCell ref="B29:B30"/>
    <mergeCell ref="A32:B32"/>
    <mergeCell ref="F32:G32"/>
    <mergeCell ref="B11:B14"/>
    <mergeCell ref="B15:B17"/>
    <mergeCell ref="A18:A20"/>
    <mergeCell ref="B18:B19"/>
    <mergeCell ref="A21:A30"/>
    <mergeCell ref="B21:B23"/>
    <mergeCell ref="B24:B28"/>
    <mergeCell ref="B45:B47"/>
    <mergeCell ref="B48:B49"/>
    <mergeCell ref="A48:A50"/>
    <mergeCell ref="B51:B53"/>
    <mergeCell ref="B54:B58"/>
    <mergeCell ref="B59:B60"/>
    <mergeCell ref="A33:B33"/>
    <mergeCell ref="A34:B34"/>
    <mergeCell ref="A36:A40"/>
    <mergeCell ref="B36:B40"/>
    <mergeCell ref="A41:A47"/>
    <mergeCell ref="B41:B44"/>
    <mergeCell ref="A51:A60"/>
  </mergeCells>
  <conditionalFormatting sqref="D32">
    <cfRule type="expression" dxfId="0" priority="1">
      <formula>D32&lt;=K32</formula>
    </cfRule>
  </conditionalFormatting>
  <conditionalFormatting sqref="D32">
    <cfRule type="expression" dxfId="1" priority="2">
      <formula>D32&gt;K32</formula>
    </cfRule>
  </conditionalFormatting>
  <conditionalFormatting sqref="C5:C30 C35:C60">
    <cfRule type="cellIs" dxfId="2" priority="3" operator="equal">
      <formula>0</formula>
    </cfRule>
  </conditionalFormatting>
  <conditionalFormatting sqref="C5:C30 C35:C60">
    <cfRule type="cellIs" dxfId="3" priority="4" operator="equal">
      <formula>1</formula>
    </cfRule>
  </conditionalFormatting>
  <conditionalFormatting sqref="C5:C30 C35:C60">
    <cfRule type="cellIs" dxfId="4" priority="5" operator="equal">
      <formula>2</formula>
    </cfRule>
  </conditionalFormatting>
  <conditionalFormatting sqref="C5:C30 C35:C60">
    <cfRule type="cellIs" dxfId="5" priority="6" operator="equal">
      <formula>3</formula>
    </cfRule>
  </conditionalFormatting>
  <conditionalFormatting sqref="C5:C30 C35:C60">
    <cfRule type="cellIs" dxfId="6" priority="7" operator="equal">
      <formula>4</formula>
    </cfRule>
  </conditionalFormatting>
  <conditionalFormatting sqref="L35:L60">
    <cfRule type="expression" dxfId="7" priority="8">
      <formula>not</formula>
    </cfRule>
  </conditionalFormatting>
  <conditionalFormatting sqref="F35:I60">
    <cfRule type="cellIs" dxfId="8" priority="9" operator="equal">
      <formula>"TRUE"</formula>
    </cfRule>
  </conditionalFormatting>
  <conditionalFormatting sqref="F35:I60">
    <cfRule type="cellIs" dxfId="9" priority="10" operator="equal">
      <formula>"FALSE"</formula>
    </cfRule>
  </conditionalFormatting>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9CB9C"/>
    <outlinePr summaryBelow="0" summaryRight="0"/>
  </sheetPr>
  <sheetViews>
    <sheetView workbookViewId="0">
      <pane ySplit="4.0" topLeftCell="A5" activePane="bottomLeft" state="frozen"/>
      <selection activeCell="B6" sqref="B6" pane="bottomLeft"/>
    </sheetView>
  </sheetViews>
  <sheetFormatPr customHeight="1" defaultColWidth="14.43" defaultRowHeight="15.75" outlineLevelCol="1" outlineLevelRow="1"/>
  <cols>
    <col customWidth="1" min="1" max="1" width="5.14"/>
    <col customWidth="1" min="2" max="2" width="15.86"/>
    <col customWidth="1" min="3" max="3" width="5.14"/>
    <col customWidth="1" min="4" max="4" width="10.86"/>
    <col customWidth="1" min="5" max="5" width="57.29"/>
    <col customWidth="1" min="6" max="9" width="3.0"/>
    <col customWidth="1" min="10" max="10" width="0.86"/>
    <col customWidth="1" min="11" max="11" width="43.0"/>
    <col collapsed="1" customWidth="1" min="12" max="12" width="9.0"/>
    <col hidden="1" min="13" max="21" width="14.43" outlineLevel="1"/>
  </cols>
  <sheetData>
    <row r="1" ht="4.5" customHeight="1">
      <c r="A1" s="3"/>
      <c r="B1" s="7"/>
      <c r="C1" s="7"/>
      <c r="D1" s="7"/>
      <c r="E1" s="7"/>
      <c r="F1" s="7"/>
      <c r="G1" s="7"/>
      <c r="H1" s="7"/>
      <c r="I1" s="7"/>
      <c r="J1" s="7"/>
      <c r="K1" s="7"/>
      <c r="L1" s="9"/>
      <c r="M1" s="9"/>
      <c r="N1" s="9"/>
      <c r="O1" s="9"/>
      <c r="P1" s="9"/>
      <c r="Q1" s="9"/>
      <c r="R1" s="9"/>
      <c r="S1" s="9"/>
      <c r="T1" s="9"/>
      <c r="U1" s="11"/>
    </row>
    <row r="2" outlineLevel="1">
      <c r="A2" s="12" t="s">
        <v>4</v>
      </c>
      <c r="B2" s="13"/>
      <c r="C2" s="24" t="s">
        <v>5</v>
      </c>
      <c r="D2" s="13"/>
      <c r="E2" s="13"/>
      <c r="F2" s="13"/>
      <c r="G2" s="13"/>
      <c r="H2" s="13"/>
      <c r="I2" s="13"/>
      <c r="J2" s="13"/>
      <c r="K2" s="13"/>
      <c r="L2" s="9"/>
      <c r="M2" s="9"/>
      <c r="N2" s="9"/>
      <c r="O2" s="9"/>
      <c r="P2" s="9"/>
      <c r="Q2" s="9"/>
      <c r="R2" s="9"/>
      <c r="S2" s="9"/>
      <c r="T2" s="9"/>
      <c r="U2" s="11"/>
    </row>
    <row r="3">
      <c r="A3" s="25" t="s">
        <v>15</v>
      </c>
      <c r="B3" s="13"/>
      <c r="C3" s="13"/>
      <c r="D3" s="13"/>
      <c r="E3" s="13"/>
      <c r="F3" s="13"/>
      <c r="G3" s="13"/>
      <c r="H3" s="13"/>
      <c r="I3" s="13"/>
      <c r="J3" s="13"/>
      <c r="K3" s="16"/>
      <c r="L3" s="26"/>
      <c r="M3" s="26"/>
      <c r="N3" s="26"/>
      <c r="O3" s="26"/>
      <c r="P3" s="26"/>
      <c r="Q3" s="26"/>
      <c r="R3" s="26"/>
      <c r="S3" s="26"/>
      <c r="T3" s="26"/>
      <c r="U3" s="27"/>
    </row>
    <row r="4" outlineLevel="1">
      <c r="A4" s="28" t="s">
        <v>7</v>
      </c>
      <c r="B4" s="16"/>
      <c r="C4" s="29" t="s">
        <v>8</v>
      </c>
      <c r="D4" s="30" t="s">
        <v>9</v>
      </c>
      <c r="E4" s="31" t="s">
        <v>10</v>
      </c>
      <c r="F4" s="29" t="s">
        <v>12</v>
      </c>
      <c r="G4" s="29" t="s">
        <v>13</v>
      </c>
      <c r="H4" s="32" t="str">
        <f>HYPERLINK("https://www.gctsd.k12.ar.us/images/testing/aspire_summative_assessment_overview.pdf","A")</f>
        <v>A</v>
      </c>
      <c r="I4" s="29" t="s">
        <v>17</v>
      </c>
      <c r="J4" s="29"/>
      <c r="K4" s="29" t="s">
        <v>18</v>
      </c>
      <c r="L4" s="26"/>
      <c r="M4" s="26"/>
      <c r="N4" s="26"/>
      <c r="O4" s="26"/>
      <c r="P4" s="26"/>
      <c r="Q4" s="26"/>
      <c r="R4" s="26"/>
      <c r="S4" s="26"/>
      <c r="T4" s="26"/>
      <c r="U4" s="27"/>
    </row>
    <row r="5" outlineLevel="1">
      <c r="A5" s="33" t="s">
        <v>19</v>
      </c>
      <c r="B5" s="34" t="s">
        <v>20</v>
      </c>
      <c r="C5" s="35">
        <f t="shared" ref="C5:C28" si="1">countif(F5:I5,TRUE)</f>
        <v>4</v>
      </c>
      <c r="D5" s="36" t="s">
        <v>21</v>
      </c>
      <c r="E5" s="37" t="s">
        <v>22</v>
      </c>
      <c r="F5" s="38" t="b">
        <v>1</v>
      </c>
      <c r="G5" s="38" t="b">
        <v>1</v>
      </c>
      <c r="H5" s="38" t="b">
        <v>1</v>
      </c>
      <c r="I5" s="38" t="b">
        <v>1</v>
      </c>
      <c r="J5" s="39"/>
      <c r="K5" s="40" t="s">
        <v>23</v>
      </c>
      <c r="L5" s="26"/>
      <c r="M5" s="26"/>
      <c r="N5" s="26"/>
      <c r="O5" s="26"/>
      <c r="P5" s="26"/>
      <c r="Q5" s="26"/>
      <c r="R5" s="26"/>
      <c r="S5" s="26"/>
      <c r="T5" s="26"/>
      <c r="U5" s="27"/>
    </row>
    <row r="6" outlineLevel="1">
      <c r="A6" s="19"/>
      <c r="B6" s="41" t="s">
        <v>24</v>
      </c>
      <c r="C6" s="42">
        <f t="shared" si="1"/>
        <v>4</v>
      </c>
      <c r="D6" s="26" t="s">
        <v>25</v>
      </c>
      <c r="E6" s="43" t="s">
        <v>26</v>
      </c>
      <c r="F6" s="44" t="b">
        <v>1</v>
      </c>
      <c r="G6" s="44" t="b">
        <v>1</v>
      </c>
      <c r="H6" s="44" t="b">
        <v>1</v>
      </c>
      <c r="I6" s="44" t="b">
        <v>1</v>
      </c>
      <c r="J6" s="45"/>
      <c r="K6" s="46" t="s">
        <v>27</v>
      </c>
      <c r="L6" s="26"/>
      <c r="M6" s="26"/>
      <c r="N6" s="26"/>
      <c r="O6" s="26"/>
      <c r="P6" s="26"/>
      <c r="Q6" s="26"/>
      <c r="R6" s="26"/>
      <c r="S6" s="26"/>
      <c r="T6" s="26"/>
      <c r="U6" s="27"/>
    </row>
    <row r="7" outlineLevel="1">
      <c r="A7" s="19"/>
      <c r="B7" s="47"/>
      <c r="C7" s="42">
        <f t="shared" si="1"/>
        <v>0</v>
      </c>
      <c r="D7" s="26" t="s">
        <v>28</v>
      </c>
      <c r="E7" s="43" t="s">
        <v>29</v>
      </c>
      <c r="F7" s="44" t="b">
        <v>0</v>
      </c>
      <c r="G7" s="44" t="b">
        <v>0</v>
      </c>
      <c r="H7" s="44" t="b">
        <v>0</v>
      </c>
      <c r="I7" s="48" t="b">
        <v>0</v>
      </c>
      <c r="J7" s="45"/>
      <c r="K7" s="46" t="s">
        <v>30</v>
      </c>
      <c r="L7" s="26"/>
      <c r="M7" s="26"/>
      <c r="N7" s="26"/>
      <c r="O7" s="26"/>
      <c r="P7" s="26"/>
      <c r="Q7" s="26"/>
      <c r="R7" s="26"/>
      <c r="S7" s="26"/>
      <c r="T7" s="26"/>
      <c r="U7" s="27"/>
    </row>
    <row r="8" outlineLevel="1">
      <c r="A8" s="19"/>
      <c r="B8" s="47"/>
      <c r="C8" s="42">
        <f t="shared" si="1"/>
        <v>0</v>
      </c>
      <c r="D8" s="26" t="s">
        <v>31</v>
      </c>
      <c r="E8" s="43" t="s">
        <v>32</v>
      </c>
      <c r="F8" s="44" t="b">
        <v>0</v>
      </c>
      <c r="G8" s="44" t="b">
        <v>0</v>
      </c>
      <c r="H8" s="44" t="b">
        <v>0</v>
      </c>
      <c r="I8" s="44" t="b">
        <v>0</v>
      </c>
      <c r="J8" s="45"/>
      <c r="K8" s="46" t="s">
        <v>30</v>
      </c>
      <c r="L8" s="26"/>
      <c r="M8" s="26"/>
      <c r="N8" s="26"/>
      <c r="O8" s="26"/>
      <c r="P8" s="26"/>
      <c r="Q8" s="26"/>
      <c r="R8" s="26"/>
      <c r="S8" s="26"/>
      <c r="T8" s="26"/>
      <c r="U8" s="27"/>
    </row>
    <row r="9" outlineLevel="1">
      <c r="A9" s="19"/>
      <c r="B9" s="47"/>
      <c r="C9" s="42">
        <f t="shared" si="1"/>
        <v>0</v>
      </c>
      <c r="D9" s="26" t="s">
        <v>33</v>
      </c>
      <c r="E9" s="43" t="s">
        <v>34</v>
      </c>
      <c r="F9" s="44" t="b">
        <v>0</v>
      </c>
      <c r="G9" s="48" t="b">
        <v>0</v>
      </c>
      <c r="H9" s="48" t="b">
        <v>0</v>
      </c>
      <c r="I9" s="48" t="b">
        <v>0</v>
      </c>
      <c r="J9" s="45"/>
      <c r="K9" s="49" t="s">
        <v>30</v>
      </c>
      <c r="L9" s="26"/>
      <c r="M9" s="26"/>
      <c r="N9" s="26"/>
      <c r="O9" s="26"/>
      <c r="P9" s="26"/>
      <c r="Q9" s="26"/>
      <c r="R9" s="26"/>
      <c r="S9" s="26"/>
      <c r="T9" s="26"/>
      <c r="U9" s="27"/>
    </row>
    <row r="10" outlineLevel="1">
      <c r="A10" s="19"/>
      <c r="B10" s="50"/>
      <c r="C10" s="35">
        <f t="shared" si="1"/>
        <v>3</v>
      </c>
      <c r="D10" s="36" t="s">
        <v>35</v>
      </c>
      <c r="E10" s="37" t="s">
        <v>36</v>
      </c>
      <c r="F10" s="38" t="b">
        <v>1</v>
      </c>
      <c r="G10" s="38" t="b">
        <v>1</v>
      </c>
      <c r="H10" s="38" t="b">
        <v>1</v>
      </c>
      <c r="I10" s="38" t="b">
        <v>0</v>
      </c>
      <c r="J10" s="39"/>
      <c r="K10" s="40" t="s">
        <v>37</v>
      </c>
      <c r="L10" s="26"/>
      <c r="M10" s="26"/>
      <c r="N10" s="26"/>
      <c r="O10" s="26"/>
      <c r="P10" s="26"/>
      <c r="Q10" s="26"/>
      <c r="R10" s="26"/>
      <c r="S10" s="26"/>
      <c r="T10" s="26"/>
      <c r="U10" s="27"/>
    </row>
    <row r="11" outlineLevel="1">
      <c r="A11" s="19"/>
      <c r="B11" s="51" t="s">
        <v>38</v>
      </c>
      <c r="C11" s="42">
        <f t="shared" si="1"/>
        <v>4</v>
      </c>
      <c r="D11" s="26" t="s">
        <v>39</v>
      </c>
      <c r="E11" s="43" t="s">
        <v>40</v>
      </c>
      <c r="F11" s="44" t="b">
        <v>1</v>
      </c>
      <c r="G11" s="44" t="b">
        <v>1</v>
      </c>
      <c r="H11" s="44" t="b">
        <v>1</v>
      </c>
      <c r="I11" s="44" t="b">
        <v>1</v>
      </c>
      <c r="J11" s="45"/>
      <c r="K11" s="52" t="s">
        <v>41</v>
      </c>
      <c r="L11" s="26"/>
      <c r="M11" s="26"/>
      <c r="N11" s="26"/>
      <c r="O11" s="26"/>
      <c r="P11" s="26"/>
      <c r="Q11" s="26"/>
      <c r="R11" s="26"/>
      <c r="S11" s="26"/>
      <c r="T11" s="26"/>
      <c r="U11" s="27"/>
    </row>
    <row r="12" outlineLevel="1">
      <c r="A12" s="19"/>
      <c r="B12" s="47"/>
      <c r="C12" s="42">
        <f t="shared" si="1"/>
        <v>0</v>
      </c>
      <c r="D12" s="26" t="s">
        <v>42</v>
      </c>
      <c r="E12" s="43" t="s">
        <v>43</v>
      </c>
      <c r="F12" s="44" t="b">
        <v>0</v>
      </c>
      <c r="G12" s="48" t="b">
        <v>0</v>
      </c>
      <c r="H12" s="48" t="b">
        <v>0</v>
      </c>
      <c r="I12" s="48" t="b">
        <v>0</v>
      </c>
      <c r="J12" s="45"/>
      <c r="K12" s="45"/>
      <c r="L12" s="26"/>
      <c r="M12" s="26"/>
      <c r="N12" s="26"/>
      <c r="O12" s="26"/>
      <c r="P12" s="26"/>
      <c r="Q12" s="26"/>
      <c r="R12" s="26"/>
      <c r="S12" s="26"/>
      <c r="T12" s="26"/>
      <c r="U12" s="27"/>
    </row>
    <row r="13" outlineLevel="1">
      <c r="A13" s="19"/>
      <c r="B13" s="50"/>
      <c r="C13" s="35">
        <f t="shared" si="1"/>
        <v>1</v>
      </c>
      <c r="D13" s="36" t="s">
        <v>44</v>
      </c>
      <c r="E13" s="37" t="s">
        <v>45</v>
      </c>
      <c r="F13" s="38" t="b">
        <v>0</v>
      </c>
      <c r="G13" s="53" t="b">
        <v>0</v>
      </c>
      <c r="H13" s="38" t="b">
        <v>1</v>
      </c>
      <c r="I13" s="53" t="b">
        <v>0</v>
      </c>
      <c r="J13" s="39"/>
      <c r="K13" s="54" t="s">
        <v>46</v>
      </c>
      <c r="L13" s="26"/>
      <c r="M13" s="26"/>
      <c r="N13" s="26"/>
      <c r="O13" s="26"/>
      <c r="P13" s="26"/>
      <c r="Q13" s="26"/>
      <c r="R13" s="26"/>
      <c r="S13" s="26"/>
      <c r="T13" s="26"/>
      <c r="U13" s="27"/>
    </row>
    <row r="14" outlineLevel="1">
      <c r="A14" s="55" t="s">
        <v>47</v>
      </c>
      <c r="B14" s="56" t="s">
        <v>48</v>
      </c>
      <c r="C14" s="42">
        <f t="shared" si="1"/>
        <v>4</v>
      </c>
      <c r="D14" s="26" t="s">
        <v>49</v>
      </c>
      <c r="E14" s="43" t="s">
        <v>50</v>
      </c>
      <c r="F14" s="44" t="b">
        <v>1</v>
      </c>
      <c r="G14" s="44" t="b">
        <v>1</v>
      </c>
      <c r="H14" s="44" t="b">
        <v>1</v>
      </c>
      <c r="I14" s="44" t="b">
        <v>1</v>
      </c>
      <c r="J14" s="45"/>
      <c r="K14" s="46" t="s">
        <v>51</v>
      </c>
      <c r="L14" s="26"/>
      <c r="M14" s="26"/>
      <c r="N14" s="26"/>
      <c r="O14" s="26"/>
      <c r="P14" s="26"/>
      <c r="Q14" s="26"/>
      <c r="R14" s="26"/>
      <c r="S14" s="26"/>
      <c r="T14" s="26"/>
      <c r="U14" s="27"/>
    </row>
    <row r="15" outlineLevel="1">
      <c r="A15" s="19"/>
      <c r="B15" s="50"/>
      <c r="C15" s="35">
        <f t="shared" si="1"/>
        <v>0</v>
      </c>
      <c r="D15" s="36" t="s">
        <v>52</v>
      </c>
      <c r="E15" s="37" t="s">
        <v>53</v>
      </c>
      <c r="F15" s="38" t="b">
        <v>0</v>
      </c>
      <c r="G15" s="38" t="b">
        <v>0</v>
      </c>
      <c r="H15" s="53" t="b">
        <v>0</v>
      </c>
      <c r="I15" s="53" t="b">
        <v>0</v>
      </c>
      <c r="J15" s="39"/>
      <c r="K15" s="46" t="s">
        <v>54</v>
      </c>
      <c r="L15" s="26"/>
      <c r="M15" s="26"/>
      <c r="N15" s="26"/>
      <c r="O15" s="26"/>
      <c r="P15" s="26"/>
      <c r="Q15" s="26"/>
      <c r="R15" s="26"/>
      <c r="S15" s="26"/>
      <c r="T15" s="26"/>
      <c r="U15" s="27"/>
    </row>
    <row r="16" outlineLevel="1">
      <c r="A16" s="19"/>
      <c r="B16" s="59" t="s">
        <v>56</v>
      </c>
      <c r="C16" s="42">
        <f t="shared" si="1"/>
        <v>3</v>
      </c>
      <c r="D16" s="26" t="s">
        <v>57</v>
      </c>
      <c r="E16" s="43" t="s">
        <v>58</v>
      </c>
      <c r="F16" s="44" t="b">
        <v>1</v>
      </c>
      <c r="G16" s="44" t="b">
        <v>1</v>
      </c>
      <c r="H16" s="44" t="b">
        <v>1</v>
      </c>
      <c r="I16" s="44" t="b">
        <v>0</v>
      </c>
      <c r="J16" s="45"/>
      <c r="K16" s="46" t="s">
        <v>59</v>
      </c>
      <c r="L16" s="26"/>
      <c r="M16" s="26"/>
      <c r="N16" s="26"/>
      <c r="O16" s="26"/>
      <c r="P16" s="26"/>
      <c r="Q16" s="26"/>
      <c r="R16" s="26"/>
      <c r="S16" s="26"/>
      <c r="T16" s="26"/>
      <c r="U16" s="27"/>
    </row>
    <row r="17" outlineLevel="1">
      <c r="A17" s="19"/>
      <c r="B17" s="50"/>
      <c r="C17" s="35">
        <f t="shared" si="1"/>
        <v>0</v>
      </c>
      <c r="D17" s="36" t="s">
        <v>61</v>
      </c>
      <c r="E17" s="37" t="s">
        <v>62</v>
      </c>
      <c r="F17" s="38" t="b">
        <v>0</v>
      </c>
      <c r="G17" s="38" t="b">
        <v>0</v>
      </c>
      <c r="H17" s="38" t="b">
        <v>0</v>
      </c>
      <c r="I17" s="38" t="b">
        <v>0</v>
      </c>
      <c r="J17" s="39"/>
      <c r="K17" s="63"/>
      <c r="L17" s="26"/>
      <c r="M17" s="26"/>
      <c r="N17" s="26"/>
      <c r="O17" s="26"/>
      <c r="P17" s="26"/>
      <c r="Q17" s="26"/>
      <c r="R17" s="26"/>
      <c r="S17" s="26"/>
      <c r="T17" s="26"/>
      <c r="U17" s="27"/>
    </row>
    <row r="18" outlineLevel="1">
      <c r="A18" s="19"/>
      <c r="B18" s="73" t="s">
        <v>64</v>
      </c>
      <c r="C18" s="42">
        <f t="shared" si="1"/>
        <v>0</v>
      </c>
      <c r="D18" s="26" t="s">
        <v>70</v>
      </c>
      <c r="E18" s="43" t="s">
        <v>71</v>
      </c>
      <c r="F18" s="44" t="b">
        <v>0</v>
      </c>
      <c r="G18" s="48" t="b">
        <v>0</v>
      </c>
      <c r="H18" s="48" t="b">
        <v>0</v>
      </c>
      <c r="I18" s="48" t="b">
        <v>0</v>
      </c>
      <c r="J18" s="45"/>
      <c r="K18" s="49" t="s">
        <v>73</v>
      </c>
      <c r="L18" s="26"/>
      <c r="M18" s="26"/>
      <c r="N18" s="26"/>
      <c r="O18" s="26"/>
      <c r="P18" s="26"/>
      <c r="Q18" s="26"/>
      <c r="R18" s="26"/>
      <c r="S18" s="26"/>
      <c r="T18" s="26"/>
      <c r="U18" s="27"/>
    </row>
    <row r="19" outlineLevel="1">
      <c r="A19" s="19"/>
      <c r="B19" s="50"/>
      <c r="C19" s="35">
        <f t="shared" si="1"/>
        <v>4</v>
      </c>
      <c r="D19" s="36" t="s">
        <v>75</v>
      </c>
      <c r="E19" s="37" t="s">
        <v>77</v>
      </c>
      <c r="F19" s="38" t="b">
        <v>1</v>
      </c>
      <c r="G19" s="38" t="b">
        <v>1</v>
      </c>
      <c r="H19" s="38" t="b">
        <v>1</v>
      </c>
      <c r="I19" s="38" t="b">
        <v>1</v>
      </c>
      <c r="J19" s="39"/>
      <c r="K19" s="54" t="s">
        <v>78</v>
      </c>
      <c r="L19" s="26"/>
      <c r="M19" s="26"/>
      <c r="N19" s="26"/>
      <c r="O19" s="26"/>
      <c r="P19" s="26"/>
      <c r="Q19" s="26"/>
      <c r="R19" s="26"/>
      <c r="S19" s="26"/>
      <c r="T19" s="26"/>
      <c r="U19" s="27"/>
    </row>
    <row r="20" outlineLevel="1">
      <c r="A20" s="19"/>
      <c r="B20" s="73" t="s">
        <v>81</v>
      </c>
      <c r="C20" s="42">
        <f t="shared" si="1"/>
        <v>4</v>
      </c>
      <c r="D20" s="26" t="s">
        <v>82</v>
      </c>
      <c r="E20" s="43" t="s">
        <v>83</v>
      </c>
      <c r="F20" s="44" t="b">
        <v>1</v>
      </c>
      <c r="G20" s="44" t="b">
        <v>1</v>
      </c>
      <c r="H20" s="44" t="b">
        <v>1</v>
      </c>
      <c r="I20" s="44" t="b">
        <v>1</v>
      </c>
      <c r="J20" s="45"/>
      <c r="K20" s="49" t="s">
        <v>84</v>
      </c>
      <c r="L20" s="26"/>
      <c r="M20" s="26"/>
      <c r="N20" s="26"/>
      <c r="O20" s="26"/>
      <c r="P20" s="26"/>
      <c r="Q20" s="26"/>
      <c r="R20" s="26"/>
      <c r="S20" s="26"/>
      <c r="T20" s="26"/>
      <c r="U20" s="27"/>
    </row>
    <row r="21" outlineLevel="1">
      <c r="A21" s="19"/>
      <c r="B21" s="50"/>
      <c r="C21" s="35">
        <f t="shared" si="1"/>
        <v>0</v>
      </c>
      <c r="D21" s="36" t="s">
        <v>85</v>
      </c>
      <c r="E21" s="37" t="s">
        <v>86</v>
      </c>
      <c r="F21" s="38" t="b">
        <v>0</v>
      </c>
      <c r="G21" s="53" t="b">
        <v>0</v>
      </c>
      <c r="H21" s="53" t="b">
        <v>0</v>
      </c>
      <c r="I21" s="53" t="b">
        <v>0</v>
      </c>
      <c r="J21" s="39"/>
      <c r="K21" s="54" t="s">
        <v>89</v>
      </c>
      <c r="L21" s="26"/>
      <c r="M21" s="26"/>
      <c r="N21" s="26"/>
      <c r="O21" s="26"/>
      <c r="P21" s="26"/>
      <c r="Q21" s="26"/>
      <c r="R21" s="26"/>
      <c r="S21" s="26"/>
      <c r="T21" s="26"/>
      <c r="U21" s="27"/>
    </row>
    <row r="22" outlineLevel="1">
      <c r="A22" s="81" t="s">
        <v>90</v>
      </c>
      <c r="B22" s="84" t="s">
        <v>95</v>
      </c>
      <c r="C22" s="42">
        <f t="shared" si="1"/>
        <v>0</v>
      </c>
      <c r="D22" s="86" t="s">
        <v>98</v>
      </c>
      <c r="E22" s="43" t="s">
        <v>100</v>
      </c>
      <c r="F22" s="44" t="b">
        <v>0</v>
      </c>
      <c r="G22" s="48" t="b">
        <v>0</v>
      </c>
      <c r="H22" s="48" t="b">
        <v>0</v>
      </c>
      <c r="I22" s="48" t="b">
        <v>0</v>
      </c>
      <c r="J22" s="45"/>
      <c r="K22" s="46" t="s">
        <v>105</v>
      </c>
      <c r="L22" s="26"/>
      <c r="M22" s="26"/>
      <c r="N22" s="26"/>
      <c r="O22" s="26"/>
      <c r="P22" s="26"/>
      <c r="Q22" s="26"/>
      <c r="R22" s="26"/>
      <c r="S22" s="26"/>
      <c r="T22" s="26"/>
      <c r="U22" s="27"/>
    </row>
    <row r="23" outlineLevel="1">
      <c r="A23" s="19"/>
      <c r="B23" s="47"/>
      <c r="C23" s="42">
        <f t="shared" si="1"/>
        <v>4</v>
      </c>
      <c r="D23" s="86" t="s">
        <v>107</v>
      </c>
      <c r="E23" s="43" t="s">
        <v>108</v>
      </c>
      <c r="F23" s="44" t="b">
        <v>1</v>
      </c>
      <c r="G23" s="44" t="b">
        <v>1</v>
      </c>
      <c r="H23" s="44" t="b">
        <v>1</v>
      </c>
      <c r="I23" s="44" t="b">
        <v>1</v>
      </c>
      <c r="J23" s="45"/>
      <c r="K23" s="46" t="s">
        <v>111</v>
      </c>
      <c r="L23" s="26"/>
      <c r="M23" s="26"/>
      <c r="N23" s="26"/>
      <c r="O23" s="26"/>
      <c r="P23" s="26"/>
      <c r="Q23" s="26"/>
      <c r="R23" s="26"/>
      <c r="S23" s="26"/>
      <c r="T23" s="26"/>
      <c r="U23" s="27"/>
    </row>
    <row r="24" outlineLevel="1">
      <c r="A24" s="19"/>
      <c r="B24" s="50"/>
      <c r="C24" s="35">
        <f t="shared" si="1"/>
        <v>1</v>
      </c>
      <c r="D24" s="88" t="s">
        <v>116</v>
      </c>
      <c r="E24" s="37" t="s">
        <v>119</v>
      </c>
      <c r="F24" s="38" t="b">
        <v>0</v>
      </c>
      <c r="G24" s="38" t="b">
        <v>0</v>
      </c>
      <c r="H24" s="38" t="b">
        <v>1</v>
      </c>
      <c r="I24" s="53" t="b">
        <v>0</v>
      </c>
      <c r="J24" s="39"/>
      <c r="K24" s="46" t="s">
        <v>122</v>
      </c>
      <c r="L24" s="26"/>
      <c r="M24" s="26"/>
      <c r="N24" s="26"/>
      <c r="O24" s="26"/>
      <c r="P24" s="26"/>
      <c r="Q24" s="26"/>
      <c r="R24" s="26"/>
      <c r="S24" s="26"/>
      <c r="T24" s="26"/>
      <c r="U24" s="27"/>
    </row>
    <row r="25" outlineLevel="1">
      <c r="A25" s="90" t="s">
        <v>124</v>
      </c>
      <c r="B25" s="91" t="s">
        <v>127</v>
      </c>
      <c r="C25" s="42">
        <f t="shared" si="1"/>
        <v>0</v>
      </c>
      <c r="D25" s="26" t="s">
        <v>132</v>
      </c>
      <c r="E25" s="43" t="s">
        <v>133</v>
      </c>
      <c r="F25" s="44" t="b">
        <v>0</v>
      </c>
      <c r="G25" s="48" t="b">
        <v>0</v>
      </c>
      <c r="H25" s="48" t="b">
        <v>0</v>
      </c>
      <c r="I25" s="48" t="b">
        <v>0</v>
      </c>
      <c r="J25" s="45"/>
      <c r="K25" s="63"/>
      <c r="L25" s="26"/>
      <c r="M25" s="26"/>
      <c r="N25" s="26"/>
      <c r="O25" s="26"/>
      <c r="P25" s="26"/>
      <c r="Q25" s="26"/>
      <c r="R25" s="26"/>
      <c r="S25" s="26"/>
      <c r="T25" s="26"/>
      <c r="U25" s="27"/>
    </row>
    <row r="26" outlineLevel="1">
      <c r="A26" s="19"/>
      <c r="B26" s="50"/>
      <c r="C26" s="35">
        <f t="shared" si="1"/>
        <v>4</v>
      </c>
      <c r="D26" s="36" t="s">
        <v>139</v>
      </c>
      <c r="E26" s="37" t="s">
        <v>140</v>
      </c>
      <c r="F26" s="38" t="b">
        <v>1</v>
      </c>
      <c r="G26" s="38" t="b">
        <v>1</v>
      </c>
      <c r="H26" s="38" t="b">
        <v>1</v>
      </c>
      <c r="I26" s="38" t="b">
        <v>1</v>
      </c>
      <c r="J26" s="39"/>
      <c r="K26" s="46" t="s">
        <v>143</v>
      </c>
      <c r="L26" s="26"/>
      <c r="M26" s="26"/>
      <c r="N26" s="26"/>
      <c r="O26" s="26"/>
      <c r="P26" s="26"/>
      <c r="Q26" s="26"/>
      <c r="R26" s="26"/>
      <c r="S26" s="26"/>
      <c r="T26" s="26"/>
      <c r="U26" s="27"/>
    </row>
    <row r="27" outlineLevel="1">
      <c r="A27" s="19"/>
      <c r="B27" s="93" t="s">
        <v>147</v>
      </c>
      <c r="C27" s="35">
        <f t="shared" si="1"/>
        <v>4</v>
      </c>
      <c r="D27" s="36" t="s">
        <v>151</v>
      </c>
      <c r="E27" s="37" t="s">
        <v>153</v>
      </c>
      <c r="F27" s="38" t="b">
        <v>1</v>
      </c>
      <c r="G27" s="38" t="b">
        <v>1</v>
      </c>
      <c r="H27" s="38" t="b">
        <v>1</v>
      </c>
      <c r="I27" s="38" t="b">
        <v>1</v>
      </c>
      <c r="J27" s="39"/>
      <c r="K27" s="46" t="s">
        <v>156</v>
      </c>
      <c r="L27" s="26"/>
      <c r="M27" s="26"/>
      <c r="N27" s="26"/>
      <c r="O27" s="26"/>
      <c r="P27" s="26"/>
      <c r="Q27" s="26"/>
      <c r="R27" s="26"/>
      <c r="S27" s="26"/>
      <c r="T27" s="26"/>
      <c r="U27" s="27"/>
    </row>
    <row r="28" outlineLevel="1">
      <c r="A28" s="16"/>
      <c r="B28" s="95" t="s">
        <v>157</v>
      </c>
      <c r="C28" s="42">
        <f t="shared" si="1"/>
        <v>4</v>
      </c>
      <c r="D28" s="36" t="s">
        <v>165</v>
      </c>
      <c r="E28" s="37" t="s">
        <v>166</v>
      </c>
      <c r="F28" s="38" t="b">
        <v>1</v>
      </c>
      <c r="G28" s="38" t="b">
        <v>1</v>
      </c>
      <c r="H28" s="38" t="b">
        <v>1</v>
      </c>
      <c r="I28" s="38" t="b">
        <v>1</v>
      </c>
      <c r="J28" s="54"/>
      <c r="K28" s="46" t="s">
        <v>168</v>
      </c>
      <c r="L28" s="26"/>
      <c r="M28" s="26"/>
      <c r="N28" s="26"/>
      <c r="O28" s="26"/>
      <c r="P28" s="26"/>
      <c r="Q28" s="26"/>
      <c r="R28" s="26"/>
      <c r="S28" s="26"/>
      <c r="T28" s="26"/>
      <c r="U28" s="27"/>
    </row>
    <row r="29">
      <c r="A29" s="97"/>
      <c r="B29" s="97"/>
      <c r="C29" s="97"/>
      <c r="D29" s="97"/>
      <c r="E29" s="97"/>
      <c r="F29" s="97"/>
      <c r="G29" s="97"/>
      <c r="H29" s="97"/>
      <c r="I29" s="97"/>
      <c r="J29" s="97"/>
      <c r="K29" s="97"/>
      <c r="L29" s="26"/>
      <c r="M29" s="26"/>
      <c r="N29" s="26"/>
      <c r="O29" s="26"/>
      <c r="P29" s="26"/>
      <c r="Q29" s="26"/>
      <c r="R29" s="26"/>
      <c r="S29" s="26"/>
      <c r="T29" s="26"/>
      <c r="U29" s="27"/>
    </row>
    <row r="30" outlineLevel="1">
      <c r="A30" s="100" t="s">
        <v>4</v>
      </c>
      <c r="C30" s="102" t="s">
        <v>184</v>
      </c>
      <c r="D30" s="103">
        <f>countif(L33:L56,TRUE)</f>
        <v>12</v>
      </c>
      <c r="E30" s="104" t="s">
        <v>195</v>
      </c>
      <c r="F30" s="102" t="s">
        <v>196</v>
      </c>
      <c r="H30" s="105">
        <f>IFERROR(__xludf.DUMMYFUNCTION("COUNTUNIQUE(D5:D28)"),24.0)</f>
        <v>24</v>
      </c>
      <c r="I30" s="107" t="s">
        <v>206</v>
      </c>
      <c r="J30" s="108"/>
      <c r="K30" s="108">
        <f>H30/3</f>
        <v>8</v>
      </c>
      <c r="L30" s="26"/>
      <c r="M30" s="26"/>
      <c r="N30" s="26"/>
      <c r="O30" s="26"/>
      <c r="P30" s="26"/>
      <c r="Q30" s="26"/>
      <c r="R30" s="26"/>
      <c r="S30" s="26"/>
      <c r="T30" s="26"/>
      <c r="U30" s="27"/>
    </row>
    <row r="31">
      <c r="A31" s="109" t="s">
        <v>216</v>
      </c>
      <c r="B31" s="13"/>
      <c r="C31" s="111">
        <v>2.0</v>
      </c>
      <c r="D31" s="9"/>
      <c r="E31" s="112" t="s">
        <v>226</v>
      </c>
      <c r="F31" s="9"/>
      <c r="G31" s="9"/>
      <c r="H31" s="9"/>
      <c r="I31" s="9"/>
      <c r="J31" s="9"/>
      <c r="K31" s="9"/>
      <c r="L31" s="26"/>
      <c r="M31" s="26"/>
      <c r="N31" s="26"/>
      <c r="O31" s="26"/>
      <c r="P31" s="26"/>
      <c r="Q31" s="26"/>
      <c r="R31" s="26"/>
      <c r="S31" s="26"/>
      <c r="T31" s="26"/>
      <c r="U31" s="27"/>
    </row>
    <row r="32">
      <c r="A32" s="17" t="s">
        <v>7</v>
      </c>
      <c r="B32" s="19"/>
      <c r="C32" s="20" t="s">
        <v>8</v>
      </c>
      <c r="D32" s="21" t="s">
        <v>9</v>
      </c>
      <c r="E32" s="23" t="s">
        <v>10</v>
      </c>
      <c r="F32" s="20" t="s">
        <v>12</v>
      </c>
      <c r="G32" s="20" t="s">
        <v>13</v>
      </c>
      <c r="H32" s="20" t="s">
        <v>234</v>
      </c>
      <c r="I32" s="20" t="s">
        <v>17</v>
      </c>
      <c r="J32" s="20"/>
      <c r="K32" s="20" t="s">
        <v>18</v>
      </c>
      <c r="L32" s="21" t="s">
        <v>235</v>
      </c>
      <c r="M32" s="26"/>
      <c r="N32" s="26"/>
      <c r="O32" s="26"/>
      <c r="P32" s="26"/>
      <c r="Q32" s="26"/>
      <c r="R32" s="26"/>
      <c r="S32" s="26"/>
      <c r="T32" s="26"/>
      <c r="U32" s="27"/>
    </row>
    <row r="33">
      <c r="A33" s="33" t="s">
        <v>19</v>
      </c>
      <c r="B33" s="34" t="s">
        <v>20</v>
      </c>
      <c r="C33" s="35">
        <f t="shared" ref="C33:C56" si="4">countif(F33:I33,TRUE)</f>
        <v>4</v>
      </c>
      <c r="D33" s="9" t="str">
        <f t="shared" ref="D33:I33" si="2">if($C5&gt;$C$31,D5,"")</f>
        <v>1.NBT.A.1</v>
      </c>
      <c r="E33" s="114" t="str">
        <f t="shared" si="2"/>
        <v>Count to 120, starting at any number less than 120. In this range, read and write numerals and represent a number of objects with a written numeral.</v>
      </c>
      <c r="F33" s="115" t="b">
        <f t="shared" si="2"/>
        <v>1</v>
      </c>
      <c r="G33" s="115" t="b">
        <f t="shared" si="2"/>
        <v>1</v>
      </c>
      <c r="H33" s="115" t="b">
        <f t="shared" si="2"/>
        <v>1</v>
      </c>
      <c r="I33" s="115" t="b">
        <f t="shared" si="2"/>
        <v>1</v>
      </c>
      <c r="J33" s="9"/>
      <c r="K33" s="114" t="str">
        <f t="shared" ref="K33:K56" si="6">if($C5&gt;$C$31,K5,"")</f>
        <v>R- Number sense is an essential skill that will prepare students for success at all levels. E- This is a foundational skill that will be used in multiple units. A- iStation L- Number sense will also be applied in Science </v>
      </c>
      <c r="L33" s="116" t="b">
        <v>1</v>
      </c>
      <c r="M33" s="9">
        <f t="shared" ref="M33:U33" si="3">if($L33=TRUE,C33,"")</f>
        <v>4</v>
      </c>
      <c r="N33" s="9" t="str">
        <f t="shared" si="3"/>
        <v>1.NBT.A.1</v>
      </c>
      <c r="O33" s="9" t="str">
        <f t="shared" si="3"/>
        <v>Count to 120, starting at any number less than 120. In this range, read and write numerals and represent a number of objects with a written numeral.</v>
      </c>
      <c r="P33" s="9" t="b">
        <f t="shared" si="3"/>
        <v>1</v>
      </c>
      <c r="Q33" s="9" t="b">
        <f t="shared" si="3"/>
        <v>1</v>
      </c>
      <c r="R33" s="9" t="b">
        <f t="shared" si="3"/>
        <v>1</v>
      </c>
      <c r="S33" s="9" t="b">
        <f t="shared" si="3"/>
        <v>1</v>
      </c>
      <c r="T33" s="9" t="str">
        <f t="shared" si="3"/>
        <v/>
      </c>
      <c r="U33" s="11" t="str">
        <f t="shared" si="3"/>
        <v>R- Number sense is an essential skill that will prepare students for success at all levels. E- This is a foundational skill that will be used in multiple units. A- iStation L- Number sense will also be applied in Science </v>
      </c>
    </row>
    <row r="34">
      <c r="A34" s="19"/>
      <c r="B34" s="41" t="s">
        <v>24</v>
      </c>
      <c r="C34" s="42">
        <f t="shared" si="4"/>
        <v>4</v>
      </c>
      <c r="D34" s="9" t="str">
        <f t="shared" ref="D34:I34" si="5">if($C6&gt;$C$31,D6,"")</f>
        <v>1.NBT.B.2</v>
      </c>
      <c r="E34" s="114" t="str">
        <f t="shared" si="5"/>
        <v>Understand that the two digits of a two-digit number represent amounts of tens and ones. Understand the following as special cases:</v>
      </c>
      <c r="F34" s="115" t="b">
        <f t="shared" si="5"/>
        <v>1</v>
      </c>
      <c r="G34" s="115" t="b">
        <f t="shared" si="5"/>
        <v>1</v>
      </c>
      <c r="H34" s="115" t="b">
        <f t="shared" si="5"/>
        <v>1</v>
      </c>
      <c r="I34" s="115" t="b">
        <f t="shared" si="5"/>
        <v>1</v>
      </c>
      <c r="J34" s="9"/>
      <c r="K34" s="114" t="str">
        <f t="shared" si="6"/>
        <v>R- Number sense is an essential skill that will prepare students for success at all levels. E- Place Value is a foundational skill that will be used in multiple units A- iStation L- Place value will be used in Science</v>
      </c>
      <c r="L34" s="120" t="b">
        <v>1</v>
      </c>
      <c r="M34" s="9">
        <f t="shared" ref="M34:U34" si="7">if($L34=TRUE,C34,"")</f>
        <v>4</v>
      </c>
      <c r="N34" s="9" t="str">
        <f t="shared" si="7"/>
        <v>1.NBT.B.2</v>
      </c>
      <c r="O34" s="9" t="str">
        <f t="shared" si="7"/>
        <v>Understand that the two digits of a two-digit number represent amounts of tens and ones. Understand the following as special cases:</v>
      </c>
      <c r="P34" s="9" t="b">
        <f t="shared" si="7"/>
        <v>1</v>
      </c>
      <c r="Q34" s="9" t="b">
        <f t="shared" si="7"/>
        <v>1</v>
      </c>
      <c r="R34" s="9" t="b">
        <f t="shared" si="7"/>
        <v>1</v>
      </c>
      <c r="S34" s="9" t="b">
        <f t="shared" si="7"/>
        <v>1</v>
      </c>
      <c r="T34" s="9" t="str">
        <f t="shared" si="7"/>
        <v/>
      </c>
      <c r="U34" s="11" t="str">
        <f t="shared" si="7"/>
        <v>R- Number sense is an essential skill that will prepare students for success at all levels. E- Place Value is a foundational skill that will be used in multiple units A- iStation L- Place value will be used in Science</v>
      </c>
    </row>
    <row r="35">
      <c r="A35" s="19"/>
      <c r="B35" s="47"/>
      <c r="C35" s="42">
        <f t="shared" si="4"/>
        <v>0</v>
      </c>
      <c r="D35" s="9" t="str">
        <f t="shared" ref="D35:I35" si="8">if($C7&gt;$C$31,D7,"")</f>
        <v/>
      </c>
      <c r="E35" s="114" t="str">
        <f t="shared" si="8"/>
        <v/>
      </c>
      <c r="F35" s="115" t="str">
        <f t="shared" si="8"/>
        <v/>
      </c>
      <c r="G35" s="115" t="str">
        <f t="shared" si="8"/>
        <v/>
      </c>
      <c r="H35" s="115" t="str">
        <f t="shared" si="8"/>
        <v/>
      </c>
      <c r="I35" s="115" t="str">
        <f t="shared" si="8"/>
        <v/>
      </c>
      <c r="J35" s="9"/>
      <c r="K35" s="114" t="str">
        <f t="shared" si="6"/>
        <v/>
      </c>
      <c r="L35" s="120" t="b">
        <v>0</v>
      </c>
      <c r="M35" s="9" t="str">
        <f t="shared" ref="M35:U35" si="9">if($L35=TRUE,C35,"")</f>
        <v/>
      </c>
      <c r="N35" s="9" t="str">
        <f t="shared" si="9"/>
        <v/>
      </c>
      <c r="O35" s="9" t="str">
        <f t="shared" si="9"/>
        <v/>
      </c>
      <c r="P35" s="9" t="str">
        <f t="shared" si="9"/>
        <v/>
      </c>
      <c r="Q35" s="9" t="str">
        <f t="shared" si="9"/>
        <v/>
      </c>
      <c r="R35" s="9" t="str">
        <f t="shared" si="9"/>
        <v/>
      </c>
      <c r="S35" s="9" t="str">
        <f t="shared" si="9"/>
        <v/>
      </c>
      <c r="T35" s="9" t="str">
        <f t="shared" si="9"/>
        <v/>
      </c>
      <c r="U35" s="11" t="str">
        <f t="shared" si="9"/>
        <v/>
      </c>
    </row>
    <row r="36">
      <c r="A36" s="19"/>
      <c r="B36" s="47"/>
      <c r="C36" s="42">
        <f t="shared" si="4"/>
        <v>0</v>
      </c>
      <c r="D36" s="9" t="str">
        <f t="shared" ref="D36:I36" si="10">if($C8&gt;$C$31,D8,"")</f>
        <v/>
      </c>
      <c r="E36" s="114" t="str">
        <f t="shared" si="10"/>
        <v/>
      </c>
      <c r="F36" s="115" t="str">
        <f t="shared" si="10"/>
        <v/>
      </c>
      <c r="G36" s="115" t="str">
        <f t="shared" si="10"/>
        <v/>
      </c>
      <c r="H36" s="115" t="str">
        <f t="shared" si="10"/>
        <v/>
      </c>
      <c r="I36" s="115" t="str">
        <f t="shared" si="10"/>
        <v/>
      </c>
      <c r="J36" s="9"/>
      <c r="K36" s="114" t="str">
        <f t="shared" si="6"/>
        <v/>
      </c>
      <c r="L36" s="120" t="b">
        <v>0</v>
      </c>
      <c r="M36" s="9" t="str">
        <f t="shared" ref="M36:U36" si="11">if($L36=TRUE,C36,"")</f>
        <v/>
      </c>
      <c r="N36" s="9" t="str">
        <f t="shared" si="11"/>
        <v/>
      </c>
      <c r="O36" s="9" t="str">
        <f t="shared" si="11"/>
        <v/>
      </c>
      <c r="P36" s="9" t="str">
        <f t="shared" si="11"/>
        <v/>
      </c>
      <c r="Q36" s="9" t="str">
        <f t="shared" si="11"/>
        <v/>
      </c>
      <c r="R36" s="9" t="str">
        <f t="shared" si="11"/>
        <v/>
      </c>
      <c r="S36" s="9" t="str">
        <f t="shared" si="11"/>
        <v/>
      </c>
      <c r="T36" s="9" t="str">
        <f t="shared" si="11"/>
        <v/>
      </c>
      <c r="U36" s="11" t="str">
        <f t="shared" si="11"/>
        <v/>
      </c>
    </row>
    <row r="37">
      <c r="A37" s="19"/>
      <c r="B37" s="47"/>
      <c r="C37" s="42">
        <f t="shared" si="4"/>
        <v>0</v>
      </c>
      <c r="D37" s="9" t="str">
        <f t="shared" ref="D37:I37" si="12">if($C9&gt;$C$31,D9,"")</f>
        <v/>
      </c>
      <c r="E37" s="114" t="str">
        <f t="shared" si="12"/>
        <v/>
      </c>
      <c r="F37" s="115" t="str">
        <f t="shared" si="12"/>
        <v/>
      </c>
      <c r="G37" s="115" t="str">
        <f t="shared" si="12"/>
        <v/>
      </c>
      <c r="H37" s="115" t="str">
        <f t="shared" si="12"/>
        <v/>
      </c>
      <c r="I37" s="115" t="str">
        <f t="shared" si="12"/>
        <v/>
      </c>
      <c r="J37" s="9"/>
      <c r="K37" s="114" t="str">
        <f t="shared" si="6"/>
        <v/>
      </c>
      <c r="L37" s="121" t="b">
        <v>0</v>
      </c>
      <c r="M37" s="9" t="str">
        <f t="shared" ref="M37:U37" si="13">if($L37=TRUE,C37,"")</f>
        <v/>
      </c>
      <c r="N37" s="9" t="str">
        <f t="shared" si="13"/>
        <v/>
      </c>
      <c r="O37" s="9" t="str">
        <f t="shared" si="13"/>
        <v/>
      </c>
      <c r="P37" s="9" t="str">
        <f t="shared" si="13"/>
        <v/>
      </c>
      <c r="Q37" s="9" t="str">
        <f t="shared" si="13"/>
        <v/>
      </c>
      <c r="R37" s="9" t="str">
        <f t="shared" si="13"/>
        <v/>
      </c>
      <c r="S37" s="9" t="str">
        <f t="shared" si="13"/>
        <v/>
      </c>
      <c r="T37" s="9" t="str">
        <f t="shared" si="13"/>
        <v/>
      </c>
      <c r="U37" s="11" t="str">
        <f t="shared" si="13"/>
        <v/>
      </c>
    </row>
    <row r="38">
      <c r="A38" s="19"/>
      <c r="B38" s="50"/>
      <c r="C38" s="35">
        <f t="shared" si="4"/>
        <v>3</v>
      </c>
      <c r="D38" s="9" t="str">
        <f t="shared" ref="D38:I38" si="14">if($C10&gt;$C$31,D10,"")</f>
        <v>1.NBT.B.3</v>
      </c>
      <c r="E38" s="114" t="str">
        <f t="shared" si="14"/>
        <v>Compare two two-digit numbers based on meanings of the tens and ones digits, recording the results of comparisons with the symbols &gt;, =, and &lt;.</v>
      </c>
      <c r="F38" s="115" t="b">
        <f t="shared" si="14"/>
        <v>1</v>
      </c>
      <c r="G38" s="115" t="b">
        <f t="shared" si="14"/>
        <v>1</v>
      </c>
      <c r="H38" s="115" t="b">
        <f t="shared" si="14"/>
        <v>1</v>
      </c>
      <c r="I38" s="115" t="b">
        <f t="shared" si="14"/>
        <v>0</v>
      </c>
      <c r="J38" s="9"/>
      <c r="K38" s="114" t="str">
        <f t="shared" si="6"/>
        <v>R- essential for success in 2nd grade and beyond. E- yes A- iStation L- </v>
      </c>
      <c r="L38" s="120" t="b">
        <v>1</v>
      </c>
      <c r="M38" s="9">
        <f t="shared" ref="M38:U38" si="15">if($L38=TRUE,C38,"")</f>
        <v>3</v>
      </c>
      <c r="N38" s="9" t="str">
        <f t="shared" si="15"/>
        <v>1.NBT.B.3</v>
      </c>
      <c r="O38" s="9" t="str">
        <f t="shared" si="15"/>
        <v>Compare two two-digit numbers based on meanings of the tens and ones digits, recording the results of comparisons with the symbols &gt;, =, and &lt;.</v>
      </c>
      <c r="P38" s="9" t="b">
        <f t="shared" si="15"/>
        <v>1</v>
      </c>
      <c r="Q38" s="9" t="b">
        <f t="shared" si="15"/>
        <v>1</v>
      </c>
      <c r="R38" s="9" t="b">
        <f t="shared" si="15"/>
        <v>1</v>
      </c>
      <c r="S38" s="9" t="b">
        <f t="shared" si="15"/>
        <v>0</v>
      </c>
      <c r="T38" s="9" t="str">
        <f t="shared" si="15"/>
        <v/>
      </c>
      <c r="U38" s="11" t="str">
        <f t="shared" si="15"/>
        <v>R- essential for success in 2nd grade and beyond. E- yes A- iStation L- </v>
      </c>
    </row>
    <row r="39">
      <c r="A39" s="19"/>
      <c r="B39" s="51" t="s">
        <v>38</v>
      </c>
      <c r="C39" s="42">
        <f t="shared" si="4"/>
        <v>4</v>
      </c>
      <c r="D39" s="9" t="str">
        <f t="shared" ref="D39:I39" si="16">if($C11&gt;$C$31,D11,"")</f>
        <v>1.NBT.C.4</v>
      </c>
      <c r="E39" s="114" t="str">
        <f t="shared" si="16"/>
        <v>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v>
      </c>
      <c r="F39" s="115" t="b">
        <f t="shared" si="16"/>
        <v>1</v>
      </c>
      <c r="G39" s="115" t="b">
        <f t="shared" si="16"/>
        <v>1</v>
      </c>
      <c r="H39" s="115" t="b">
        <f t="shared" si="16"/>
        <v>1</v>
      </c>
      <c r="I39" s="115" t="b">
        <f t="shared" si="16"/>
        <v>1</v>
      </c>
      <c r="J39" s="9"/>
      <c r="K39" s="114" t="str">
        <f t="shared" si="6"/>
        <v>R- addition is a foundational math skill and will continue into 2nd grade. </v>
      </c>
      <c r="L39" s="120" t="b">
        <v>1</v>
      </c>
      <c r="M39" s="9">
        <f t="shared" ref="M39:U39" si="17">if($L39=TRUE,C39,"")</f>
        <v>4</v>
      </c>
      <c r="N39" s="9" t="str">
        <f t="shared" si="17"/>
        <v>1.NBT.C.4</v>
      </c>
      <c r="O39" s="9" t="str">
        <f t="shared" si="17"/>
        <v>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v>
      </c>
      <c r="P39" s="9" t="b">
        <f t="shared" si="17"/>
        <v>1</v>
      </c>
      <c r="Q39" s="9" t="b">
        <f t="shared" si="17"/>
        <v>1</v>
      </c>
      <c r="R39" s="9" t="b">
        <f t="shared" si="17"/>
        <v>1</v>
      </c>
      <c r="S39" s="9" t="b">
        <f t="shared" si="17"/>
        <v>1</v>
      </c>
      <c r="T39" s="9" t="str">
        <f t="shared" si="17"/>
        <v/>
      </c>
      <c r="U39" s="11" t="str">
        <f t="shared" si="17"/>
        <v>R- addition is a foundational math skill and will continue into 2nd grade. </v>
      </c>
    </row>
    <row r="40">
      <c r="A40" s="19"/>
      <c r="B40" s="47"/>
      <c r="C40" s="42">
        <f t="shared" si="4"/>
        <v>0</v>
      </c>
      <c r="D40" s="9" t="str">
        <f t="shared" ref="D40:I40" si="18">if($C12&gt;$C$31,D12,"")</f>
        <v/>
      </c>
      <c r="E40" s="114" t="str">
        <f t="shared" si="18"/>
        <v/>
      </c>
      <c r="F40" s="115" t="str">
        <f t="shared" si="18"/>
        <v/>
      </c>
      <c r="G40" s="115" t="str">
        <f t="shared" si="18"/>
        <v/>
      </c>
      <c r="H40" s="115" t="str">
        <f t="shared" si="18"/>
        <v/>
      </c>
      <c r="I40" s="115" t="str">
        <f t="shared" si="18"/>
        <v/>
      </c>
      <c r="J40" s="9"/>
      <c r="K40" s="114" t="str">
        <f t="shared" si="6"/>
        <v/>
      </c>
      <c r="L40" s="121" t="b">
        <v>0</v>
      </c>
      <c r="M40" s="9" t="str">
        <f t="shared" ref="M40:U40" si="19">if($L40=TRUE,C40,"")</f>
        <v/>
      </c>
      <c r="N40" s="9" t="str">
        <f t="shared" si="19"/>
        <v/>
      </c>
      <c r="O40" s="9" t="str">
        <f t="shared" si="19"/>
        <v/>
      </c>
      <c r="P40" s="9" t="str">
        <f t="shared" si="19"/>
        <v/>
      </c>
      <c r="Q40" s="9" t="str">
        <f t="shared" si="19"/>
        <v/>
      </c>
      <c r="R40" s="9" t="str">
        <f t="shared" si="19"/>
        <v/>
      </c>
      <c r="S40" s="9" t="str">
        <f t="shared" si="19"/>
        <v/>
      </c>
      <c r="T40" s="9" t="str">
        <f t="shared" si="19"/>
        <v/>
      </c>
      <c r="U40" s="11" t="str">
        <f t="shared" si="19"/>
        <v/>
      </c>
    </row>
    <row r="41">
      <c r="A41" s="19"/>
      <c r="B41" s="50"/>
      <c r="C41" s="35">
        <f t="shared" si="4"/>
        <v>0</v>
      </c>
      <c r="D41" s="9" t="str">
        <f t="shared" ref="D41:I41" si="20">if($C13&gt;$C$31,D13,"")</f>
        <v/>
      </c>
      <c r="E41" s="114" t="str">
        <f t="shared" si="20"/>
        <v/>
      </c>
      <c r="F41" s="115" t="str">
        <f t="shared" si="20"/>
        <v/>
      </c>
      <c r="G41" s="115" t="str">
        <f t="shared" si="20"/>
        <v/>
      </c>
      <c r="H41" s="115" t="str">
        <f t="shared" si="20"/>
        <v/>
      </c>
      <c r="I41" s="115" t="str">
        <f t="shared" si="20"/>
        <v/>
      </c>
      <c r="J41" s="9"/>
      <c r="K41" s="114" t="str">
        <f t="shared" si="6"/>
        <v/>
      </c>
      <c r="L41" s="121" t="b">
        <v>0</v>
      </c>
      <c r="M41" s="9" t="str">
        <f t="shared" ref="M41:U41" si="21">if($L41=TRUE,C41,"")</f>
        <v/>
      </c>
      <c r="N41" s="9" t="str">
        <f t="shared" si="21"/>
        <v/>
      </c>
      <c r="O41" s="9" t="str">
        <f t="shared" si="21"/>
        <v/>
      </c>
      <c r="P41" s="9" t="str">
        <f t="shared" si="21"/>
        <v/>
      </c>
      <c r="Q41" s="9" t="str">
        <f t="shared" si="21"/>
        <v/>
      </c>
      <c r="R41" s="9" t="str">
        <f t="shared" si="21"/>
        <v/>
      </c>
      <c r="S41" s="9" t="str">
        <f t="shared" si="21"/>
        <v/>
      </c>
      <c r="T41" s="9" t="str">
        <f t="shared" si="21"/>
        <v/>
      </c>
      <c r="U41" s="11" t="str">
        <f t="shared" si="21"/>
        <v/>
      </c>
    </row>
    <row r="42">
      <c r="A42" s="55" t="s">
        <v>47</v>
      </c>
      <c r="B42" s="56" t="s">
        <v>48</v>
      </c>
      <c r="C42" s="42">
        <f t="shared" si="4"/>
        <v>4</v>
      </c>
      <c r="D42" s="9" t="str">
        <f t="shared" ref="D42:I42" si="22">if($C14&gt;$C$31,D14,"")</f>
        <v>1.OA.A.1</v>
      </c>
      <c r="E42" s="114" t="str">
        <f t="shared" si="22"/>
        <v>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v>
      </c>
      <c r="F42" s="115" t="b">
        <f t="shared" si="22"/>
        <v>1</v>
      </c>
      <c r="G42" s="115" t="b">
        <f t="shared" si="22"/>
        <v>1</v>
      </c>
      <c r="H42" s="115" t="b">
        <f t="shared" si="22"/>
        <v>1</v>
      </c>
      <c r="I42" s="115" t="b">
        <f t="shared" si="22"/>
        <v>1</v>
      </c>
      <c r="J42" s="9"/>
      <c r="K42" s="114" t="str">
        <f t="shared" si="6"/>
        <v>Word problems and problem solving skills are essential in all grades and are assessed.</v>
      </c>
      <c r="L42" s="120" t="b">
        <v>1</v>
      </c>
      <c r="M42" s="9">
        <f t="shared" ref="M42:U42" si="23">if($L42=TRUE,C42,"")</f>
        <v>4</v>
      </c>
      <c r="N42" s="9" t="str">
        <f t="shared" si="23"/>
        <v>1.OA.A.1</v>
      </c>
      <c r="O42" s="9" t="str">
        <f t="shared" si="23"/>
        <v>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v>
      </c>
      <c r="P42" s="9" t="b">
        <f t="shared" si="23"/>
        <v>1</v>
      </c>
      <c r="Q42" s="9" t="b">
        <f t="shared" si="23"/>
        <v>1</v>
      </c>
      <c r="R42" s="9" t="b">
        <f t="shared" si="23"/>
        <v>1</v>
      </c>
      <c r="S42" s="9" t="b">
        <f t="shared" si="23"/>
        <v>1</v>
      </c>
      <c r="T42" s="9" t="str">
        <f t="shared" si="23"/>
        <v/>
      </c>
      <c r="U42" s="11" t="str">
        <f t="shared" si="23"/>
        <v>Word problems and problem solving skills are essential in all grades and are assessed.</v>
      </c>
    </row>
    <row r="43">
      <c r="A43" s="19"/>
      <c r="B43" s="50"/>
      <c r="C43" s="35">
        <f t="shared" si="4"/>
        <v>0</v>
      </c>
      <c r="D43" s="9" t="str">
        <f t="shared" ref="D43:I43" si="24">if($C15&gt;$C$31,D15,"")</f>
        <v/>
      </c>
      <c r="E43" s="114" t="str">
        <f t="shared" si="24"/>
        <v/>
      </c>
      <c r="F43" s="115" t="str">
        <f t="shared" si="24"/>
        <v/>
      </c>
      <c r="G43" s="115" t="str">
        <f t="shared" si="24"/>
        <v/>
      </c>
      <c r="H43" s="115" t="str">
        <f t="shared" si="24"/>
        <v/>
      </c>
      <c r="I43" s="115" t="str">
        <f t="shared" si="24"/>
        <v/>
      </c>
      <c r="J43" s="9"/>
      <c r="K43" s="114" t="str">
        <f t="shared" si="6"/>
        <v/>
      </c>
      <c r="L43" s="121" t="b">
        <v>0</v>
      </c>
      <c r="M43" s="9" t="str">
        <f t="shared" ref="M43:U43" si="25">if($L43=TRUE,C43,"")</f>
        <v/>
      </c>
      <c r="N43" s="9" t="str">
        <f t="shared" si="25"/>
        <v/>
      </c>
      <c r="O43" s="9" t="str">
        <f t="shared" si="25"/>
        <v/>
      </c>
      <c r="P43" s="9" t="str">
        <f t="shared" si="25"/>
        <v/>
      </c>
      <c r="Q43" s="9" t="str">
        <f t="shared" si="25"/>
        <v/>
      </c>
      <c r="R43" s="9" t="str">
        <f t="shared" si="25"/>
        <v/>
      </c>
      <c r="S43" s="9" t="str">
        <f t="shared" si="25"/>
        <v/>
      </c>
      <c r="T43" s="9" t="str">
        <f t="shared" si="25"/>
        <v/>
      </c>
      <c r="U43" s="11" t="str">
        <f t="shared" si="25"/>
        <v/>
      </c>
    </row>
    <row r="44">
      <c r="A44" s="19"/>
      <c r="B44" s="59" t="s">
        <v>56</v>
      </c>
      <c r="C44" s="42">
        <f t="shared" si="4"/>
        <v>3</v>
      </c>
      <c r="D44" s="9" t="str">
        <f t="shared" ref="D44:I44" si="26">if($C16&gt;$C$31,D16,"")</f>
        <v>1.OA.B.2</v>
      </c>
      <c r="E44" s="114" t="str">
        <f t="shared" si="26"/>
        <v>Apply properties of operations as strategies to add and subtract. Examples: If 8 + 3 = 11 is known, then 3 + 8 = 11 is also known. (Commutative property of addition.) To add 2 + 6 + 4, the second two numbers can be added to make a ten, so 2 + 6 + 4 = 2 + 10 = 12. (Associative property of addition.)</v>
      </c>
      <c r="F44" s="115" t="b">
        <f t="shared" si="26"/>
        <v>1</v>
      </c>
      <c r="G44" s="115" t="b">
        <f t="shared" si="26"/>
        <v>1</v>
      </c>
      <c r="H44" s="115" t="b">
        <f t="shared" si="26"/>
        <v>1</v>
      </c>
      <c r="I44" s="115" t="b">
        <f t="shared" si="26"/>
        <v>0</v>
      </c>
      <c r="J44" s="9"/>
      <c r="K44" s="114" t="str">
        <f t="shared" si="6"/>
        <v>These properties will be built upon and assessed in this grade and beyond.</v>
      </c>
      <c r="L44" s="120" t="b">
        <v>1</v>
      </c>
      <c r="M44" s="9">
        <f t="shared" ref="M44:U44" si="27">if($L44=TRUE,C44,"")</f>
        <v>3</v>
      </c>
      <c r="N44" s="9" t="str">
        <f t="shared" si="27"/>
        <v>1.OA.B.2</v>
      </c>
      <c r="O44" s="9" t="str">
        <f t="shared" si="27"/>
        <v>Apply properties of operations as strategies to add and subtract. Examples: If 8 + 3 = 11 is known, then 3 + 8 = 11 is also known. (Commutative property of addition.) To add 2 + 6 + 4, the second two numbers can be added to make a ten, so 2 + 6 + 4 = 2 + 10 = 12. (Associative property of addition.)</v>
      </c>
      <c r="P44" s="9" t="b">
        <f t="shared" si="27"/>
        <v>1</v>
      </c>
      <c r="Q44" s="9" t="b">
        <f t="shared" si="27"/>
        <v>1</v>
      </c>
      <c r="R44" s="9" t="b">
        <f t="shared" si="27"/>
        <v>1</v>
      </c>
      <c r="S44" s="9" t="b">
        <f t="shared" si="27"/>
        <v>0</v>
      </c>
      <c r="T44" s="9" t="str">
        <f t="shared" si="27"/>
        <v/>
      </c>
      <c r="U44" s="11" t="str">
        <f t="shared" si="27"/>
        <v>These properties will be built upon and assessed in this grade and beyond.</v>
      </c>
    </row>
    <row r="45">
      <c r="A45" s="19"/>
      <c r="B45" s="50"/>
      <c r="C45" s="35">
        <f t="shared" si="4"/>
        <v>0</v>
      </c>
      <c r="D45" s="9" t="str">
        <f t="shared" ref="D45:I45" si="28">if($C17&gt;$C$31,D17,"")</f>
        <v/>
      </c>
      <c r="E45" s="114" t="str">
        <f t="shared" si="28"/>
        <v/>
      </c>
      <c r="F45" s="115" t="str">
        <f t="shared" si="28"/>
        <v/>
      </c>
      <c r="G45" s="115" t="str">
        <f t="shared" si="28"/>
        <v/>
      </c>
      <c r="H45" s="115" t="str">
        <f t="shared" si="28"/>
        <v/>
      </c>
      <c r="I45" s="115" t="str">
        <f t="shared" si="28"/>
        <v/>
      </c>
      <c r="J45" s="9"/>
      <c r="K45" s="114" t="str">
        <f t="shared" si="6"/>
        <v/>
      </c>
      <c r="L45" s="120" t="b">
        <v>0</v>
      </c>
      <c r="M45" s="9" t="str">
        <f t="shared" ref="M45:U45" si="29">if($L45=TRUE,C45,"")</f>
        <v/>
      </c>
      <c r="N45" s="9" t="str">
        <f t="shared" si="29"/>
        <v/>
      </c>
      <c r="O45" s="9" t="str">
        <f t="shared" si="29"/>
        <v/>
      </c>
      <c r="P45" s="9" t="str">
        <f t="shared" si="29"/>
        <v/>
      </c>
      <c r="Q45" s="9" t="str">
        <f t="shared" si="29"/>
        <v/>
      </c>
      <c r="R45" s="9" t="str">
        <f t="shared" si="29"/>
        <v/>
      </c>
      <c r="S45" s="9" t="str">
        <f t="shared" si="29"/>
        <v/>
      </c>
      <c r="T45" s="9" t="str">
        <f t="shared" si="29"/>
        <v/>
      </c>
      <c r="U45" s="11" t="str">
        <f t="shared" si="29"/>
        <v/>
      </c>
    </row>
    <row r="46">
      <c r="A46" s="19"/>
      <c r="B46" s="73" t="s">
        <v>64</v>
      </c>
      <c r="C46" s="42">
        <f t="shared" si="4"/>
        <v>0</v>
      </c>
      <c r="D46" s="9" t="str">
        <f t="shared" ref="D46:I46" si="30">if($C18&gt;$C$31,D18,"")</f>
        <v/>
      </c>
      <c r="E46" s="114" t="str">
        <f t="shared" si="30"/>
        <v/>
      </c>
      <c r="F46" s="115" t="str">
        <f t="shared" si="30"/>
        <v/>
      </c>
      <c r="G46" s="115" t="str">
        <f t="shared" si="30"/>
        <v/>
      </c>
      <c r="H46" s="115" t="str">
        <f t="shared" si="30"/>
        <v/>
      </c>
      <c r="I46" s="115" t="str">
        <f t="shared" si="30"/>
        <v/>
      </c>
      <c r="J46" s="9"/>
      <c r="K46" s="114" t="str">
        <f t="shared" si="6"/>
        <v/>
      </c>
      <c r="L46" s="121" t="b">
        <v>0</v>
      </c>
      <c r="M46" s="9" t="str">
        <f t="shared" ref="M46:U46" si="31">if($L46=TRUE,C46,"")</f>
        <v/>
      </c>
      <c r="N46" s="9" t="str">
        <f t="shared" si="31"/>
        <v/>
      </c>
      <c r="O46" s="9" t="str">
        <f t="shared" si="31"/>
        <v/>
      </c>
      <c r="P46" s="9" t="str">
        <f t="shared" si="31"/>
        <v/>
      </c>
      <c r="Q46" s="9" t="str">
        <f t="shared" si="31"/>
        <v/>
      </c>
      <c r="R46" s="9" t="str">
        <f t="shared" si="31"/>
        <v/>
      </c>
      <c r="S46" s="9" t="str">
        <f t="shared" si="31"/>
        <v/>
      </c>
      <c r="T46" s="9" t="str">
        <f t="shared" si="31"/>
        <v/>
      </c>
      <c r="U46" s="11" t="str">
        <f t="shared" si="31"/>
        <v/>
      </c>
    </row>
    <row r="47">
      <c r="A47" s="19"/>
      <c r="B47" s="50"/>
      <c r="C47" s="35">
        <f t="shared" si="4"/>
        <v>4</v>
      </c>
      <c r="D47" s="9" t="str">
        <f t="shared" ref="D47:I47" si="32">if($C19&gt;$C$31,D19,"")</f>
        <v>1.OA.C.6</v>
      </c>
      <c r="E47" s="114" t="str">
        <f t="shared" si="32"/>
        <v>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v>
      </c>
      <c r="F47" s="115" t="b">
        <f t="shared" si="32"/>
        <v>1</v>
      </c>
      <c r="G47" s="115" t="b">
        <f t="shared" si="32"/>
        <v>1</v>
      </c>
      <c r="H47" s="115" t="b">
        <f t="shared" si="32"/>
        <v>1</v>
      </c>
      <c r="I47" s="115" t="b">
        <f t="shared" si="32"/>
        <v>1</v>
      </c>
      <c r="J47" s="9"/>
      <c r="K47" s="114" t="str">
        <f t="shared" si="6"/>
        <v>Introduction of addition and subtraction, will be assessed and carried forward in other grades.</v>
      </c>
      <c r="L47" s="120" t="b">
        <v>1</v>
      </c>
      <c r="M47" s="9">
        <f t="shared" ref="M47:U47" si="33">if($L47=TRUE,C47,"")</f>
        <v>4</v>
      </c>
      <c r="N47" s="9" t="str">
        <f t="shared" si="33"/>
        <v>1.OA.C.6</v>
      </c>
      <c r="O47" s="9" t="str">
        <f t="shared" si="33"/>
        <v>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v>
      </c>
      <c r="P47" s="9" t="b">
        <f t="shared" si="33"/>
        <v>1</v>
      </c>
      <c r="Q47" s="9" t="b">
        <f t="shared" si="33"/>
        <v>1</v>
      </c>
      <c r="R47" s="9" t="b">
        <f t="shared" si="33"/>
        <v>1</v>
      </c>
      <c r="S47" s="9" t="b">
        <f t="shared" si="33"/>
        <v>1</v>
      </c>
      <c r="T47" s="9" t="str">
        <f t="shared" si="33"/>
        <v/>
      </c>
      <c r="U47" s="11" t="str">
        <f t="shared" si="33"/>
        <v>Introduction of addition and subtraction, will be assessed and carried forward in other grades.</v>
      </c>
    </row>
    <row r="48">
      <c r="A48" s="19"/>
      <c r="B48" s="73" t="s">
        <v>81</v>
      </c>
      <c r="C48" s="42">
        <f t="shared" si="4"/>
        <v>4</v>
      </c>
      <c r="D48" s="9" t="str">
        <f t="shared" ref="D48:I48" si="34">if($C20&gt;$C$31,D20,"")</f>
        <v>1.OA.D.7</v>
      </c>
      <c r="E48" s="114" t="str">
        <f t="shared" si="34"/>
        <v>Understand the meaning of the equal sign, and determine if equations involving addition and subtraction are true or false. For example, which of the following equations are true and which are false? 6 = 6, 7 = 8 – 1, 5 + 2 = 2 + 5, 4 + 1 = 5 + 2.</v>
      </c>
      <c r="F48" s="115" t="b">
        <f t="shared" si="34"/>
        <v>1</v>
      </c>
      <c r="G48" s="115" t="b">
        <f t="shared" si="34"/>
        <v>1</v>
      </c>
      <c r="H48" s="115" t="b">
        <f t="shared" si="34"/>
        <v>1</v>
      </c>
      <c r="I48" s="115" t="b">
        <f t="shared" si="34"/>
        <v>1</v>
      </c>
      <c r="J48" s="9"/>
      <c r="K48" s="114" t="str">
        <f t="shared" si="6"/>
        <v>Essential to understanding addition and subtraction (1.OA.D.7)</v>
      </c>
      <c r="L48" s="120" t="b">
        <v>1</v>
      </c>
      <c r="M48" s="9">
        <f t="shared" ref="M48:U48" si="35">if($L48=TRUE,C48,"")</f>
        <v>4</v>
      </c>
      <c r="N48" s="9" t="str">
        <f t="shared" si="35"/>
        <v>1.OA.D.7</v>
      </c>
      <c r="O48" s="9" t="str">
        <f t="shared" si="35"/>
        <v>Understand the meaning of the equal sign, and determine if equations involving addition and subtraction are true or false. For example, which of the following equations are true and which are false? 6 = 6, 7 = 8 – 1, 5 + 2 = 2 + 5, 4 + 1 = 5 + 2.</v>
      </c>
      <c r="P48" s="9" t="b">
        <f t="shared" si="35"/>
        <v>1</v>
      </c>
      <c r="Q48" s="9" t="b">
        <f t="shared" si="35"/>
        <v>1</v>
      </c>
      <c r="R48" s="9" t="b">
        <f t="shared" si="35"/>
        <v>1</v>
      </c>
      <c r="S48" s="9" t="b">
        <f t="shared" si="35"/>
        <v>1</v>
      </c>
      <c r="T48" s="9" t="str">
        <f t="shared" si="35"/>
        <v/>
      </c>
      <c r="U48" s="11" t="str">
        <f t="shared" si="35"/>
        <v>Essential to understanding addition and subtraction (1.OA.D.7)</v>
      </c>
    </row>
    <row r="49">
      <c r="A49" s="19"/>
      <c r="B49" s="50"/>
      <c r="C49" s="35">
        <f t="shared" si="4"/>
        <v>0</v>
      </c>
      <c r="D49" s="9" t="str">
        <f t="shared" ref="D49:I49" si="36">if($C21&gt;$C$31,D21,"")</f>
        <v/>
      </c>
      <c r="E49" s="114" t="str">
        <f t="shared" si="36"/>
        <v/>
      </c>
      <c r="F49" s="115" t="str">
        <f t="shared" si="36"/>
        <v/>
      </c>
      <c r="G49" s="115" t="str">
        <f t="shared" si="36"/>
        <v/>
      </c>
      <c r="H49" s="115" t="str">
        <f t="shared" si="36"/>
        <v/>
      </c>
      <c r="I49" s="115" t="str">
        <f t="shared" si="36"/>
        <v/>
      </c>
      <c r="J49" s="9"/>
      <c r="K49" s="114" t="str">
        <f t="shared" si="6"/>
        <v/>
      </c>
      <c r="L49" s="121" t="b">
        <v>0</v>
      </c>
      <c r="M49" s="9" t="str">
        <f t="shared" ref="M49:U49" si="37">if($L49=TRUE,C49,"")</f>
        <v/>
      </c>
      <c r="N49" s="9" t="str">
        <f t="shared" si="37"/>
        <v/>
      </c>
      <c r="O49" s="9" t="str">
        <f t="shared" si="37"/>
        <v/>
      </c>
      <c r="P49" s="9" t="str">
        <f t="shared" si="37"/>
        <v/>
      </c>
      <c r="Q49" s="9" t="str">
        <f t="shared" si="37"/>
        <v/>
      </c>
      <c r="R49" s="9" t="str">
        <f t="shared" si="37"/>
        <v/>
      </c>
      <c r="S49" s="9" t="str">
        <f t="shared" si="37"/>
        <v/>
      </c>
      <c r="T49" s="9" t="str">
        <f t="shared" si="37"/>
        <v/>
      </c>
      <c r="U49" s="11" t="str">
        <f t="shared" si="37"/>
        <v/>
      </c>
    </row>
    <row r="50">
      <c r="A50" s="81" t="s">
        <v>90</v>
      </c>
      <c r="B50" s="84" t="s">
        <v>95</v>
      </c>
      <c r="C50" s="42">
        <f t="shared" si="4"/>
        <v>0</v>
      </c>
      <c r="D50" s="9" t="str">
        <f t="shared" ref="D50:I50" si="38">if($C22&gt;$C$31,D22,"")</f>
        <v/>
      </c>
      <c r="E50" s="114" t="str">
        <f t="shared" si="38"/>
        <v/>
      </c>
      <c r="F50" s="115" t="str">
        <f t="shared" si="38"/>
        <v/>
      </c>
      <c r="G50" s="115" t="str">
        <f t="shared" si="38"/>
        <v/>
      </c>
      <c r="H50" s="115" t="str">
        <f t="shared" si="38"/>
        <v/>
      </c>
      <c r="I50" s="115" t="str">
        <f t="shared" si="38"/>
        <v/>
      </c>
      <c r="J50" s="9"/>
      <c r="K50" s="114" t="str">
        <f t="shared" si="6"/>
        <v/>
      </c>
      <c r="L50" s="121" t="b">
        <v>0</v>
      </c>
      <c r="M50" s="9" t="str">
        <f t="shared" ref="M50:U50" si="39">if($L50=TRUE,C50,"")</f>
        <v/>
      </c>
      <c r="N50" s="9" t="str">
        <f t="shared" si="39"/>
        <v/>
      </c>
      <c r="O50" s="9" t="str">
        <f t="shared" si="39"/>
        <v/>
      </c>
      <c r="P50" s="9" t="str">
        <f t="shared" si="39"/>
        <v/>
      </c>
      <c r="Q50" s="9" t="str">
        <f t="shared" si="39"/>
        <v/>
      </c>
      <c r="R50" s="9" t="str">
        <f t="shared" si="39"/>
        <v/>
      </c>
      <c r="S50" s="9" t="str">
        <f t="shared" si="39"/>
        <v/>
      </c>
      <c r="T50" s="9" t="str">
        <f t="shared" si="39"/>
        <v/>
      </c>
      <c r="U50" s="11" t="str">
        <f t="shared" si="39"/>
        <v/>
      </c>
    </row>
    <row r="51" ht="19.5" customHeight="1">
      <c r="A51" s="19"/>
      <c r="B51" s="47"/>
      <c r="C51" s="42">
        <f t="shared" si="4"/>
        <v>4</v>
      </c>
      <c r="D51" s="9" t="str">
        <f t="shared" ref="D51:I51" si="40">if($C23&gt;$C$31,D23,"")</f>
        <v>1.G.A.2</v>
      </c>
      <c r="E51" s="114" t="str">
        <f t="shared" si="40"/>
        <v>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v>
      </c>
      <c r="F51" s="115" t="b">
        <f t="shared" si="40"/>
        <v>1</v>
      </c>
      <c r="G51" s="115" t="b">
        <f t="shared" si="40"/>
        <v>1</v>
      </c>
      <c r="H51" s="115" t="b">
        <f t="shared" si="40"/>
        <v>1</v>
      </c>
      <c r="I51" s="115" t="b">
        <f t="shared" si="40"/>
        <v>1</v>
      </c>
      <c r="J51" s="9"/>
      <c r="K51" s="114" t="str">
        <f t="shared" si="6"/>
        <v>Introduction of 3-D shapes, and the idea that two shapes can form another shape.</v>
      </c>
      <c r="L51" s="120" t="b">
        <v>1</v>
      </c>
      <c r="M51" s="9">
        <f t="shared" ref="M51:U51" si="41">if($L51=TRUE,C51,"")</f>
        <v>4</v>
      </c>
      <c r="N51" s="9" t="str">
        <f t="shared" si="41"/>
        <v>1.G.A.2</v>
      </c>
      <c r="O51" s="9" t="str">
        <f t="shared" si="41"/>
        <v>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v>
      </c>
      <c r="P51" s="9" t="b">
        <f t="shared" si="41"/>
        <v>1</v>
      </c>
      <c r="Q51" s="9" t="b">
        <f t="shared" si="41"/>
        <v>1</v>
      </c>
      <c r="R51" s="9" t="b">
        <f t="shared" si="41"/>
        <v>1</v>
      </c>
      <c r="S51" s="9" t="b">
        <f t="shared" si="41"/>
        <v>1</v>
      </c>
      <c r="T51" s="9" t="str">
        <f t="shared" si="41"/>
        <v/>
      </c>
      <c r="U51" s="11" t="str">
        <f t="shared" si="41"/>
        <v>Introduction of 3-D shapes, and the idea that two shapes can form another shape.</v>
      </c>
    </row>
    <row r="52">
      <c r="A52" s="19"/>
      <c r="B52" s="50"/>
      <c r="C52" s="35">
        <f t="shared" si="4"/>
        <v>0</v>
      </c>
      <c r="D52" s="9" t="str">
        <f t="shared" ref="D52:I52" si="42">if($C24&gt;$C$31,D24,"")</f>
        <v/>
      </c>
      <c r="E52" s="114" t="str">
        <f t="shared" si="42"/>
        <v/>
      </c>
      <c r="F52" s="115" t="str">
        <f t="shared" si="42"/>
        <v/>
      </c>
      <c r="G52" s="115" t="str">
        <f t="shared" si="42"/>
        <v/>
      </c>
      <c r="H52" s="115" t="str">
        <f t="shared" si="42"/>
        <v/>
      </c>
      <c r="I52" s="115" t="str">
        <f t="shared" si="42"/>
        <v/>
      </c>
      <c r="J52" s="9"/>
      <c r="K52" s="114" t="str">
        <f t="shared" si="6"/>
        <v/>
      </c>
      <c r="L52" s="120" t="b">
        <v>0</v>
      </c>
      <c r="M52" s="9" t="str">
        <f t="shared" ref="M52:U52" si="43">if($L52=TRUE,C52,"")</f>
        <v/>
      </c>
      <c r="N52" s="9" t="str">
        <f t="shared" si="43"/>
        <v/>
      </c>
      <c r="O52" s="9" t="str">
        <f t="shared" si="43"/>
        <v/>
      </c>
      <c r="P52" s="9" t="str">
        <f t="shared" si="43"/>
        <v/>
      </c>
      <c r="Q52" s="9" t="str">
        <f t="shared" si="43"/>
        <v/>
      </c>
      <c r="R52" s="9" t="str">
        <f t="shared" si="43"/>
        <v/>
      </c>
      <c r="S52" s="9" t="str">
        <f t="shared" si="43"/>
        <v/>
      </c>
      <c r="T52" s="9" t="str">
        <f t="shared" si="43"/>
        <v/>
      </c>
      <c r="U52" s="11" t="str">
        <f t="shared" si="43"/>
        <v/>
      </c>
    </row>
    <row r="53">
      <c r="A53" s="90" t="s">
        <v>124</v>
      </c>
      <c r="B53" s="91" t="s">
        <v>127</v>
      </c>
      <c r="C53" s="42">
        <f t="shared" si="4"/>
        <v>0</v>
      </c>
      <c r="D53" s="9" t="str">
        <f t="shared" ref="D53:I53" si="44">if($C25&gt;$C$31,D25,"")</f>
        <v/>
      </c>
      <c r="E53" s="114" t="str">
        <f t="shared" si="44"/>
        <v/>
      </c>
      <c r="F53" s="115" t="str">
        <f t="shared" si="44"/>
        <v/>
      </c>
      <c r="G53" s="115" t="str">
        <f t="shared" si="44"/>
        <v/>
      </c>
      <c r="H53" s="115" t="str">
        <f t="shared" si="44"/>
        <v/>
      </c>
      <c r="I53" s="115" t="str">
        <f t="shared" si="44"/>
        <v/>
      </c>
      <c r="J53" s="9"/>
      <c r="K53" s="114" t="str">
        <f t="shared" si="6"/>
        <v/>
      </c>
      <c r="L53" s="121" t="b">
        <v>0</v>
      </c>
      <c r="M53" s="9" t="str">
        <f t="shared" ref="M53:U53" si="45">if($L53=TRUE,C53,"")</f>
        <v/>
      </c>
      <c r="N53" s="9" t="str">
        <f t="shared" si="45"/>
        <v/>
      </c>
      <c r="O53" s="9" t="str">
        <f t="shared" si="45"/>
        <v/>
      </c>
      <c r="P53" s="9" t="str">
        <f t="shared" si="45"/>
        <v/>
      </c>
      <c r="Q53" s="9" t="str">
        <f t="shared" si="45"/>
        <v/>
      </c>
      <c r="R53" s="9" t="str">
        <f t="shared" si="45"/>
        <v/>
      </c>
      <c r="S53" s="9" t="str">
        <f t="shared" si="45"/>
        <v/>
      </c>
      <c r="T53" s="9" t="str">
        <f t="shared" si="45"/>
        <v/>
      </c>
      <c r="U53" s="11" t="str">
        <f t="shared" si="45"/>
        <v/>
      </c>
    </row>
    <row r="54">
      <c r="A54" s="19"/>
      <c r="B54" s="50"/>
      <c r="C54" s="35">
        <f t="shared" si="4"/>
        <v>4</v>
      </c>
      <c r="D54" s="9" t="str">
        <f t="shared" ref="D54:I54" si="46">if($C26&gt;$C$31,D26,"")</f>
        <v>1.MD.A.2</v>
      </c>
      <c r="E54" s="114" t="str">
        <f t="shared" si="46"/>
        <v>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v>
      </c>
      <c r="F54" s="115" t="b">
        <f t="shared" si="46"/>
        <v>1</v>
      </c>
      <c r="G54" s="115" t="b">
        <f t="shared" si="46"/>
        <v>1</v>
      </c>
      <c r="H54" s="115" t="b">
        <f t="shared" si="46"/>
        <v>1</v>
      </c>
      <c r="I54" s="115" t="b">
        <f t="shared" si="46"/>
        <v>1</v>
      </c>
      <c r="J54" s="9"/>
      <c r="K54" s="114" t="str">
        <f t="shared" si="6"/>
        <v>Introduction to Measurement</v>
      </c>
      <c r="L54" s="120" t="b">
        <v>1</v>
      </c>
      <c r="M54" s="9">
        <f t="shared" ref="M54:U54" si="47">if($L54=TRUE,C54,"")</f>
        <v>4</v>
      </c>
      <c r="N54" s="9" t="str">
        <f t="shared" si="47"/>
        <v>1.MD.A.2</v>
      </c>
      <c r="O54" s="9" t="str">
        <f t="shared" si="47"/>
        <v>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v>
      </c>
      <c r="P54" s="9" t="b">
        <f t="shared" si="47"/>
        <v>1</v>
      </c>
      <c r="Q54" s="9" t="b">
        <f t="shared" si="47"/>
        <v>1</v>
      </c>
      <c r="R54" s="9" t="b">
        <f t="shared" si="47"/>
        <v>1</v>
      </c>
      <c r="S54" s="9" t="b">
        <f t="shared" si="47"/>
        <v>1</v>
      </c>
      <c r="T54" s="9" t="str">
        <f t="shared" si="47"/>
        <v/>
      </c>
      <c r="U54" s="11" t="str">
        <f t="shared" si="47"/>
        <v>Introduction to Measurement</v>
      </c>
    </row>
    <row r="55">
      <c r="A55" s="19"/>
      <c r="B55" s="93" t="s">
        <v>147</v>
      </c>
      <c r="C55" s="35">
        <f t="shared" si="4"/>
        <v>4</v>
      </c>
      <c r="D55" s="9" t="str">
        <f t="shared" ref="D55:I55" si="48">if($C27&gt;$C$31,D27,"")</f>
        <v>1.MD.B.3</v>
      </c>
      <c r="E55" s="114" t="str">
        <f t="shared" si="48"/>
        <v>Tell and write time in hours and halfhours using analog and digital clocks.</v>
      </c>
      <c r="F55" s="115" t="b">
        <f t="shared" si="48"/>
        <v>1</v>
      </c>
      <c r="G55" s="115" t="b">
        <f t="shared" si="48"/>
        <v>1</v>
      </c>
      <c r="H55" s="115" t="b">
        <f t="shared" si="48"/>
        <v>1</v>
      </c>
      <c r="I55" s="115" t="b">
        <f t="shared" si="48"/>
        <v>1</v>
      </c>
      <c r="J55" s="9"/>
      <c r="K55" s="114" t="str">
        <f t="shared" si="6"/>
        <v>Introduction to Time</v>
      </c>
      <c r="L55" s="120" t="b">
        <v>1</v>
      </c>
      <c r="M55" s="9">
        <f t="shared" ref="M55:U55" si="49">if($L55=TRUE,C55,"")</f>
        <v>4</v>
      </c>
      <c r="N55" s="9" t="str">
        <f t="shared" si="49"/>
        <v>1.MD.B.3</v>
      </c>
      <c r="O55" s="9" t="str">
        <f t="shared" si="49"/>
        <v>Tell and write time in hours and halfhours using analog and digital clocks.</v>
      </c>
      <c r="P55" s="9" t="b">
        <f t="shared" si="49"/>
        <v>1</v>
      </c>
      <c r="Q55" s="9" t="b">
        <f t="shared" si="49"/>
        <v>1</v>
      </c>
      <c r="R55" s="9" t="b">
        <f t="shared" si="49"/>
        <v>1</v>
      </c>
      <c r="S55" s="9" t="b">
        <f t="shared" si="49"/>
        <v>1</v>
      </c>
      <c r="T55" s="9" t="str">
        <f t="shared" si="49"/>
        <v/>
      </c>
      <c r="U55" s="11" t="str">
        <f t="shared" si="49"/>
        <v>Introduction to Time</v>
      </c>
    </row>
    <row r="56">
      <c r="A56" s="16"/>
      <c r="B56" s="95" t="s">
        <v>157</v>
      </c>
      <c r="C56" s="42">
        <f t="shared" si="4"/>
        <v>4</v>
      </c>
      <c r="D56" s="9" t="str">
        <f t="shared" ref="D56:I56" si="50">if($C28&gt;$C$31,D28,"")</f>
        <v>1.MD.C.4</v>
      </c>
      <c r="E56" s="114" t="str">
        <f t="shared" si="50"/>
        <v>Organize, represent, and interpret data with up to three categories; ask and answer questions about the total number of data points, how many in each category, and how many more or less are in one category than in another.</v>
      </c>
      <c r="F56" s="115" t="b">
        <f t="shared" si="50"/>
        <v>1</v>
      </c>
      <c r="G56" s="115" t="b">
        <f t="shared" si="50"/>
        <v>1</v>
      </c>
      <c r="H56" s="115" t="b">
        <f t="shared" si="50"/>
        <v>1</v>
      </c>
      <c r="I56" s="115" t="b">
        <f t="shared" si="50"/>
        <v>1</v>
      </c>
      <c r="J56" s="9"/>
      <c r="K56" s="114" t="str">
        <f t="shared" si="6"/>
        <v>Graphing is an essential skill, it is assessed, and will be used in other subjects and grades.</v>
      </c>
      <c r="L56" s="120" t="b">
        <v>1</v>
      </c>
      <c r="M56" s="9">
        <f t="shared" ref="M56:U56" si="51">if($L56=TRUE,C56,"")</f>
        <v>4</v>
      </c>
      <c r="N56" s="9" t="str">
        <f t="shared" si="51"/>
        <v>1.MD.C.4</v>
      </c>
      <c r="O56" s="9" t="str">
        <f t="shared" si="51"/>
        <v>Organize, represent, and interpret data with up to three categories; ask and answer questions about the total number of data points, how many in each category, and how many more or less are in one category than in another.</v>
      </c>
      <c r="P56" s="9" t="b">
        <f t="shared" si="51"/>
        <v>1</v>
      </c>
      <c r="Q56" s="9" t="b">
        <f t="shared" si="51"/>
        <v>1</v>
      </c>
      <c r="R56" s="9" t="b">
        <f t="shared" si="51"/>
        <v>1</v>
      </c>
      <c r="S56" s="9" t="b">
        <f t="shared" si="51"/>
        <v>1</v>
      </c>
      <c r="T56" s="9" t="str">
        <f t="shared" si="51"/>
        <v/>
      </c>
      <c r="U56" s="11" t="str">
        <f t="shared" si="51"/>
        <v>Graphing is an essential skill, it is assessed, and will be used in other subjects and grades.</v>
      </c>
    </row>
  </sheetData>
  <mergeCells count="32">
    <mergeCell ref="B11:B13"/>
    <mergeCell ref="B14:B15"/>
    <mergeCell ref="A2:B2"/>
    <mergeCell ref="C2:K2"/>
    <mergeCell ref="A3:K3"/>
    <mergeCell ref="A4:B4"/>
    <mergeCell ref="A5:A13"/>
    <mergeCell ref="B6:B10"/>
    <mergeCell ref="A14:A21"/>
    <mergeCell ref="B20:B21"/>
    <mergeCell ref="B16:B17"/>
    <mergeCell ref="B18:B19"/>
    <mergeCell ref="A22:A24"/>
    <mergeCell ref="B22:B24"/>
    <mergeCell ref="A25:A28"/>
    <mergeCell ref="B25:B26"/>
    <mergeCell ref="F30:G30"/>
    <mergeCell ref="B42:B43"/>
    <mergeCell ref="B44:B45"/>
    <mergeCell ref="B46:B47"/>
    <mergeCell ref="B48:B49"/>
    <mergeCell ref="A50:A52"/>
    <mergeCell ref="B50:B52"/>
    <mergeCell ref="A53:A56"/>
    <mergeCell ref="B53:B54"/>
    <mergeCell ref="A30:B30"/>
    <mergeCell ref="A31:B31"/>
    <mergeCell ref="A32:B32"/>
    <mergeCell ref="A33:A41"/>
    <mergeCell ref="B34:B38"/>
    <mergeCell ref="B39:B41"/>
    <mergeCell ref="A42:A49"/>
  </mergeCells>
  <conditionalFormatting sqref="L33">
    <cfRule type="expression" dxfId="7" priority="1">
      <formula>not</formula>
    </cfRule>
  </conditionalFormatting>
  <conditionalFormatting sqref="F33:I56">
    <cfRule type="cellIs" dxfId="8" priority="2" operator="equal">
      <formula>"TRUE"</formula>
    </cfRule>
  </conditionalFormatting>
  <conditionalFormatting sqref="F33:I56">
    <cfRule type="cellIs" dxfId="9" priority="3" operator="equal">
      <formula>"FALSE"</formula>
    </cfRule>
  </conditionalFormatting>
  <conditionalFormatting sqref="C5:C28 C33:C56">
    <cfRule type="cellIs" dxfId="2" priority="4" operator="equal">
      <formula>0</formula>
    </cfRule>
  </conditionalFormatting>
  <conditionalFormatting sqref="C5:C28 C33:C56">
    <cfRule type="cellIs" dxfId="3" priority="5" operator="equal">
      <formula>1</formula>
    </cfRule>
  </conditionalFormatting>
  <conditionalFormatting sqref="C5:C28 C33:C56">
    <cfRule type="cellIs" dxfId="4" priority="6" operator="equal">
      <formula>2</formula>
    </cfRule>
  </conditionalFormatting>
  <conditionalFormatting sqref="C5:C28 C33:C56">
    <cfRule type="cellIs" dxfId="5" priority="7" operator="equal">
      <formula>3</formula>
    </cfRule>
  </conditionalFormatting>
  <conditionalFormatting sqref="C5:C28 C33:C56">
    <cfRule type="cellIs" dxfId="6" priority="8" operator="equal">
      <formula>4</formula>
    </cfRule>
  </conditionalFormatting>
  <conditionalFormatting sqref="D30">
    <cfRule type="expression" dxfId="0" priority="9">
      <formula>D30&lt;=K30</formula>
    </cfRule>
  </conditionalFormatting>
  <conditionalFormatting sqref="D30">
    <cfRule type="expression" dxfId="1" priority="10">
      <formula>D30&gt;K30</formula>
    </cfRule>
  </conditionalFormatting>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E599"/>
    <outlinePr summaryBelow="0" summaryRight="0"/>
  </sheetPr>
  <sheetViews>
    <sheetView workbookViewId="0">
      <pane ySplit="4.0" topLeftCell="A5" activePane="bottomLeft" state="frozen"/>
      <selection activeCell="B6" sqref="B6" pane="bottomLeft"/>
    </sheetView>
  </sheetViews>
  <sheetFormatPr customHeight="1" defaultColWidth="14.43" defaultRowHeight="15.75" outlineLevelCol="1" outlineLevelRow="1"/>
  <cols>
    <col customWidth="1" min="1" max="1" width="5.14"/>
    <col customWidth="1" min="2" max="2" width="15.86"/>
    <col customWidth="1" min="3" max="3" width="4.86"/>
    <col customWidth="1" min="4" max="4" width="10.86"/>
    <col customWidth="1" min="5" max="5" width="57.29"/>
    <col customWidth="1" min="6" max="9" width="3.0"/>
    <col customWidth="1" min="10" max="10" width="0.86"/>
    <col customWidth="1" min="11" max="11" width="43.0"/>
    <col collapsed="1" customWidth="1" min="12" max="12" width="8.57"/>
    <col hidden="1" min="13" max="21" width="14.43" outlineLevel="1"/>
  </cols>
  <sheetData>
    <row r="1" ht="4.5" customHeight="1">
      <c r="A1" s="3"/>
      <c r="B1" s="7"/>
      <c r="C1" s="7"/>
      <c r="D1" s="7"/>
      <c r="E1" s="7"/>
      <c r="F1" s="7"/>
      <c r="G1" s="7"/>
      <c r="H1" s="7"/>
      <c r="I1" s="7"/>
      <c r="J1" s="7"/>
      <c r="K1" s="7"/>
      <c r="L1" s="9"/>
      <c r="M1" s="9"/>
      <c r="N1" s="9"/>
      <c r="O1" s="9"/>
      <c r="P1" s="9"/>
      <c r="Q1" s="9"/>
      <c r="R1" s="9"/>
      <c r="S1" s="9"/>
      <c r="T1" s="9"/>
      <c r="U1" s="11"/>
    </row>
    <row r="2" outlineLevel="1">
      <c r="A2" s="12" t="s">
        <v>4</v>
      </c>
      <c r="B2" s="13"/>
      <c r="C2" s="24" t="s">
        <v>5</v>
      </c>
      <c r="D2" s="13"/>
      <c r="E2" s="13"/>
      <c r="F2" s="13"/>
      <c r="G2" s="13"/>
      <c r="H2" s="13"/>
      <c r="I2" s="13"/>
      <c r="J2" s="13"/>
      <c r="K2" s="13"/>
      <c r="L2" s="9"/>
      <c r="M2" s="9"/>
      <c r="N2" s="9"/>
      <c r="O2" s="9"/>
      <c r="P2" s="9"/>
      <c r="Q2" s="9"/>
      <c r="R2" s="9"/>
      <c r="S2" s="9"/>
      <c r="T2" s="9"/>
      <c r="U2" s="11"/>
    </row>
    <row r="3">
      <c r="A3" s="25" t="s">
        <v>16</v>
      </c>
      <c r="B3" s="13"/>
      <c r="C3" s="13"/>
      <c r="D3" s="13"/>
      <c r="E3" s="13"/>
      <c r="F3" s="13"/>
      <c r="G3" s="13"/>
      <c r="H3" s="13"/>
      <c r="I3" s="13"/>
      <c r="J3" s="13"/>
      <c r="K3" s="16"/>
      <c r="L3" s="74"/>
      <c r="M3" s="74"/>
      <c r="N3" s="74"/>
      <c r="O3" s="74"/>
      <c r="P3" s="74"/>
      <c r="Q3" s="74"/>
      <c r="R3" s="74"/>
      <c r="S3" s="74"/>
      <c r="T3" s="74"/>
      <c r="U3" s="76"/>
    </row>
    <row r="4" outlineLevel="1">
      <c r="A4" s="28" t="s">
        <v>7</v>
      </c>
      <c r="B4" s="16"/>
      <c r="C4" s="29" t="s">
        <v>8</v>
      </c>
      <c r="D4" s="77" t="s">
        <v>9</v>
      </c>
      <c r="E4" s="31" t="s">
        <v>10</v>
      </c>
      <c r="F4" s="29" t="s">
        <v>12</v>
      </c>
      <c r="G4" s="29" t="s">
        <v>13</v>
      </c>
      <c r="H4" s="32" t="str">
        <f>HYPERLINK("https://www.gctsd.k12.ar.us/images/testing/aspire_summative_assessment_overview.pdf","A")</f>
        <v>A</v>
      </c>
      <c r="I4" s="29" t="s">
        <v>17</v>
      </c>
      <c r="J4" s="29"/>
      <c r="K4" s="29" t="s">
        <v>18</v>
      </c>
      <c r="L4" s="74"/>
      <c r="M4" s="74"/>
      <c r="N4" s="74"/>
      <c r="O4" s="74"/>
      <c r="P4" s="74"/>
      <c r="Q4" s="74"/>
      <c r="R4" s="74"/>
      <c r="S4" s="74"/>
      <c r="T4" s="74"/>
      <c r="U4" s="76"/>
    </row>
    <row r="5" outlineLevel="1">
      <c r="A5" s="79" t="s">
        <v>19</v>
      </c>
      <c r="B5" s="34" t="s">
        <v>24</v>
      </c>
      <c r="C5" s="35">
        <f t="shared" ref="C5:C32" si="1">countif(F5:I5,TRUE)</f>
        <v>3</v>
      </c>
      <c r="D5" s="36" t="s">
        <v>93</v>
      </c>
      <c r="E5" s="83" t="s">
        <v>94</v>
      </c>
      <c r="F5" s="64" t="b">
        <v>1</v>
      </c>
      <c r="G5" s="65" t="b">
        <v>1</v>
      </c>
      <c r="H5" s="65" t="b">
        <v>1</v>
      </c>
      <c r="I5" s="65" t="b">
        <v>0</v>
      </c>
      <c r="J5" s="82"/>
      <c r="K5" s="65" t="s">
        <v>97</v>
      </c>
      <c r="L5" s="74"/>
      <c r="M5" s="74"/>
      <c r="N5" s="74"/>
      <c r="O5" s="74"/>
      <c r="P5" s="74"/>
      <c r="Q5" s="74"/>
      <c r="R5" s="74"/>
      <c r="S5" s="74"/>
      <c r="T5" s="74"/>
      <c r="U5" s="76"/>
    </row>
    <row r="6" outlineLevel="1">
      <c r="A6" s="47"/>
      <c r="B6" s="41" t="s">
        <v>24</v>
      </c>
      <c r="C6" s="42">
        <f t="shared" si="1"/>
        <v>0</v>
      </c>
      <c r="D6" s="26" t="s">
        <v>103</v>
      </c>
      <c r="E6" s="87" t="s">
        <v>104</v>
      </c>
      <c r="F6" s="70" t="b">
        <v>0</v>
      </c>
      <c r="G6" s="71" t="b">
        <v>0</v>
      </c>
      <c r="H6" s="71" t="b">
        <v>0</v>
      </c>
      <c r="I6" s="71" t="b">
        <v>0</v>
      </c>
      <c r="J6" s="78"/>
      <c r="K6" s="71" t="s">
        <v>106</v>
      </c>
      <c r="L6" s="74"/>
      <c r="M6" s="74"/>
      <c r="N6" s="74"/>
      <c r="O6" s="74"/>
      <c r="P6" s="74"/>
      <c r="Q6" s="74"/>
      <c r="R6" s="74"/>
      <c r="S6" s="74"/>
      <c r="T6" s="74"/>
      <c r="U6" s="76"/>
    </row>
    <row r="7" outlineLevel="1">
      <c r="A7" s="47"/>
      <c r="B7" s="47"/>
      <c r="C7" s="42">
        <f t="shared" si="1"/>
        <v>0</v>
      </c>
      <c r="D7" s="26" t="s">
        <v>112</v>
      </c>
      <c r="E7" s="87" t="s">
        <v>113</v>
      </c>
      <c r="F7" s="70" t="b">
        <v>0</v>
      </c>
      <c r="G7" s="71" t="b">
        <v>0</v>
      </c>
      <c r="H7" s="71" t="b">
        <v>0</v>
      </c>
      <c r="I7" s="71" t="b">
        <v>0</v>
      </c>
      <c r="J7" s="78"/>
      <c r="K7" s="71" t="s">
        <v>115</v>
      </c>
      <c r="L7" s="74"/>
      <c r="M7" s="74"/>
      <c r="N7" s="74"/>
      <c r="O7" s="74"/>
      <c r="P7" s="74"/>
      <c r="Q7" s="74"/>
      <c r="R7" s="74"/>
      <c r="S7" s="74"/>
      <c r="T7" s="74"/>
      <c r="U7" s="76"/>
    </row>
    <row r="8" outlineLevel="1">
      <c r="A8" s="47"/>
      <c r="B8" s="47"/>
      <c r="C8" s="42">
        <f t="shared" si="1"/>
        <v>3</v>
      </c>
      <c r="D8" s="26" t="s">
        <v>120</v>
      </c>
      <c r="E8" s="87" t="s">
        <v>121</v>
      </c>
      <c r="F8" s="70" t="b">
        <v>1</v>
      </c>
      <c r="G8" s="71" t="b">
        <v>1</v>
      </c>
      <c r="H8" s="71" t="b">
        <v>1</v>
      </c>
      <c r="I8" s="71" t="b">
        <v>0</v>
      </c>
      <c r="J8" s="78"/>
      <c r="K8" s="71" t="s">
        <v>123</v>
      </c>
      <c r="L8" s="74"/>
      <c r="M8" s="74"/>
      <c r="N8" s="74"/>
      <c r="O8" s="74"/>
      <c r="P8" s="74"/>
      <c r="Q8" s="74"/>
      <c r="R8" s="74"/>
      <c r="S8" s="74"/>
      <c r="T8" s="74"/>
      <c r="U8" s="76"/>
    </row>
    <row r="9" outlineLevel="1">
      <c r="A9" s="47"/>
      <c r="B9" s="47"/>
      <c r="C9" s="42">
        <f t="shared" si="1"/>
        <v>1</v>
      </c>
      <c r="D9" s="26" t="s">
        <v>125</v>
      </c>
      <c r="E9" s="87" t="s">
        <v>126</v>
      </c>
      <c r="F9" s="70" t="b">
        <v>1</v>
      </c>
      <c r="G9" s="78" t="b">
        <v>0</v>
      </c>
      <c r="H9" s="78" t="b">
        <v>0</v>
      </c>
      <c r="I9" s="78" t="b">
        <v>0</v>
      </c>
      <c r="J9" s="78"/>
      <c r="K9" s="71" t="s">
        <v>115</v>
      </c>
      <c r="L9" s="74"/>
      <c r="M9" s="74"/>
      <c r="N9" s="74"/>
      <c r="O9" s="74"/>
      <c r="P9" s="74"/>
      <c r="Q9" s="74"/>
      <c r="R9" s="74"/>
      <c r="S9" s="74"/>
      <c r="T9" s="74"/>
      <c r="U9" s="76"/>
    </row>
    <row r="10" outlineLevel="1">
      <c r="A10" s="47"/>
      <c r="B10" s="50"/>
      <c r="C10" s="35">
        <f t="shared" si="1"/>
        <v>4</v>
      </c>
      <c r="D10" s="36" t="s">
        <v>129</v>
      </c>
      <c r="E10" s="83" t="s">
        <v>130</v>
      </c>
      <c r="F10" s="64" t="b">
        <v>1</v>
      </c>
      <c r="G10" s="65" t="b">
        <v>1</v>
      </c>
      <c r="H10" s="65" t="b">
        <v>1</v>
      </c>
      <c r="I10" s="65" t="b">
        <v>1</v>
      </c>
      <c r="J10" s="82"/>
      <c r="K10" s="65" t="s">
        <v>131</v>
      </c>
      <c r="L10" s="74"/>
      <c r="M10" s="74"/>
      <c r="N10" s="74"/>
      <c r="O10" s="74"/>
      <c r="P10" s="74"/>
      <c r="Q10" s="74"/>
      <c r="R10" s="74"/>
      <c r="S10" s="74"/>
      <c r="T10" s="74"/>
      <c r="U10" s="76"/>
    </row>
    <row r="11" outlineLevel="1">
      <c r="A11" s="47"/>
      <c r="B11" s="51" t="s">
        <v>38</v>
      </c>
      <c r="C11" s="42">
        <f t="shared" si="1"/>
        <v>3</v>
      </c>
      <c r="D11" s="26" t="s">
        <v>136</v>
      </c>
      <c r="E11" s="87" t="s">
        <v>137</v>
      </c>
      <c r="F11" s="70" t="b">
        <v>1</v>
      </c>
      <c r="G11" s="71" t="b">
        <v>1</v>
      </c>
      <c r="H11" s="71" t="b">
        <v>1</v>
      </c>
      <c r="I11" s="78" t="b">
        <v>0</v>
      </c>
      <c r="J11" s="78"/>
      <c r="K11" s="71" t="s">
        <v>141</v>
      </c>
      <c r="L11" s="74"/>
      <c r="M11" s="74"/>
      <c r="N11" s="74"/>
      <c r="O11" s="74"/>
      <c r="P11" s="74"/>
      <c r="Q11" s="74"/>
      <c r="R11" s="74"/>
      <c r="S11" s="74"/>
      <c r="T11" s="74"/>
      <c r="U11" s="76"/>
    </row>
    <row r="12" outlineLevel="1">
      <c r="A12" s="47"/>
      <c r="B12" s="47"/>
      <c r="C12" s="42">
        <f t="shared" si="1"/>
        <v>1</v>
      </c>
      <c r="D12" s="26" t="s">
        <v>145</v>
      </c>
      <c r="E12" s="87" t="s">
        <v>146</v>
      </c>
      <c r="F12" s="70" t="b">
        <v>1</v>
      </c>
      <c r="G12" s="78" t="b">
        <v>0</v>
      </c>
      <c r="H12" s="78" t="b">
        <v>0</v>
      </c>
      <c r="I12" s="78" t="b">
        <v>0</v>
      </c>
      <c r="J12" s="78"/>
      <c r="K12" s="71" t="s">
        <v>148</v>
      </c>
      <c r="L12" s="74"/>
      <c r="M12" s="74"/>
      <c r="N12" s="74"/>
      <c r="O12" s="74"/>
      <c r="P12" s="74"/>
      <c r="Q12" s="74"/>
      <c r="R12" s="74"/>
      <c r="S12" s="74"/>
      <c r="T12" s="74"/>
      <c r="U12" s="76"/>
    </row>
    <row r="13" outlineLevel="1">
      <c r="A13" s="47"/>
      <c r="B13" s="47"/>
      <c r="C13" s="42">
        <f t="shared" si="1"/>
        <v>1</v>
      </c>
      <c r="D13" s="26" t="s">
        <v>152</v>
      </c>
      <c r="E13" s="87" t="s">
        <v>154</v>
      </c>
      <c r="F13" s="70" t="b">
        <v>1</v>
      </c>
      <c r="G13" s="78" t="b">
        <v>0</v>
      </c>
      <c r="H13" s="78" t="b">
        <v>0</v>
      </c>
      <c r="I13" s="78" t="b">
        <v>0</v>
      </c>
      <c r="J13" s="78"/>
      <c r="K13" s="71" t="s">
        <v>155</v>
      </c>
      <c r="L13" s="74"/>
      <c r="M13" s="74"/>
      <c r="N13" s="74"/>
      <c r="O13" s="74"/>
      <c r="P13" s="74"/>
      <c r="Q13" s="74"/>
      <c r="R13" s="74"/>
      <c r="S13" s="74"/>
      <c r="T13" s="74"/>
      <c r="U13" s="76"/>
    </row>
    <row r="14" outlineLevel="1">
      <c r="A14" s="47"/>
      <c r="B14" s="47"/>
      <c r="C14" s="42">
        <f t="shared" si="1"/>
        <v>0</v>
      </c>
      <c r="D14" s="26" t="s">
        <v>158</v>
      </c>
      <c r="E14" s="87" t="s">
        <v>159</v>
      </c>
      <c r="F14" s="70" t="b">
        <v>0</v>
      </c>
      <c r="G14" s="78" t="b">
        <v>0</v>
      </c>
      <c r="H14" s="78" t="b">
        <v>0</v>
      </c>
      <c r="I14" s="78" t="b">
        <v>0</v>
      </c>
      <c r="J14" s="78"/>
      <c r="K14" s="71" t="s">
        <v>155</v>
      </c>
      <c r="L14" s="74"/>
      <c r="M14" s="74"/>
      <c r="N14" s="74"/>
      <c r="O14" s="74"/>
      <c r="P14" s="74"/>
      <c r="Q14" s="74"/>
      <c r="R14" s="74"/>
      <c r="S14" s="74"/>
      <c r="T14" s="74"/>
      <c r="U14" s="76"/>
    </row>
    <row r="15" outlineLevel="1">
      <c r="A15" s="50"/>
      <c r="B15" s="50"/>
      <c r="C15" s="35">
        <f t="shared" si="1"/>
        <v>0</v>
      </c>
      <c r="D15" s="88" t="s">
        <v>163</v>
      </c>
      <c r="E15" s="83" t="s">
        <v>164</v>
      </c>
      <c r="F15" s="64" t="b">
        <v>0</v>
      </c>
      <c r="G15" s="65" t="b">
        <v>0</v>
      </c>
      <c r="H15" s="82" t="b">
        <v>0</v>
      </c>
      <c r="I15" s="82" t="b">
        <v>0</v>
      </c>
      <c r="J15" s="82"/>
      <c r="K15" s="65" t="s">
        <v>167</v>
      </c>
      <c r="L15" s="74"/>
      <c r="M15" s="74"/>
      <c r="N15" s="74"/>
      <c r="O15" s="74"/>
      <c r="P15" s="74"/>
      <c r="Q15" s="74"/>
      <c r="R15" s="74"/>
      <c r="S15" s="74"/>
      <c r="T15" s="74"/>
      <c r="U15" s="76"/>
    </row>
    <row r="16" outlineLevel="1">
      <c r="A16" s="66" t="s">
        <v>47</v>
      </c>
      <c r="B16" s="96" t="s">
        <v>48</v>
      </c>
      <c r="C16" s="35">
        <f t="shared" si="1"/>
        <v>4</v>
      </c>
      <c r="D16" s="36" t="s">
        <v>172</v>
      </c>
      <c r="E16" s="83" t="s">
        <v>174</v>
      </c>
      <c r="F16" s="64" t="b">
        <v>1</v>
      </c>
      <c r="G16" s="65" t="b">
        <v>1</v>
      </c>
      <c r="H16" s="65" t="b">
        <v>1</v>
      </c>
      <c r="I16" s="65" t="b">
        <v>1</v>
      </c>
      <c r="J16" s="82"/>
      <c r="K16" s="65" t="s">
        <v>177</v>
      </c>
      <c r="L16" s="74"/>
      <c r="M16" s="74"/>
      <c r="N16" s="74"/>
      <c r="O16" s="74"/>
      <c r="P16" s="74"/>
      <c r="Q16" s="74"/>
      <c r="R16" s="74"/>
      <c r="S16" s="74"/>
      <c r="T16" s="74"/>
      <c r="U16" s="76"/>
    </row>
    <row r="17" outlineLevel="1">
      <c r="A17" s="47"/>
      <c r="B17" s="98" t="s">
        <v>64</v>
      </c>
      <c r="C17" s="35">
        <f t="shared" si="1"/>
        <v>3</v>
      </c>
      <c r="D17" s="36" t="s">
        <v>179</v>
      </c>
      <c r="E17" s="83" t="s">
        <v>180</v>
      </c>
      <c r="F17" s="64" t="b">
        <v>1</v>
      </c>
      <c r="G17" s="65" t="b">
        <v>1</v>
      </c>
      <c r="H17" s="65" t="b">
        <v>1</v>
      </c>
      <c r="I17" s="65" t="b">
        <v>0</v>
      </c>
      <c r="J17" s="82"/>
      <c r="K17" s="65" t="s">
        <v>181</v>
      </c>
      <c r="L17" s="74"/>
      <c r="M17" s="74"/>
      <c r="N17" s="74"/>
      <c r="O17" s="74"/>
      <c r="P17" s="74"/>
      <c r="Q17" s="74"/>
      <c r="R17" s="74"/>
      <c r="S17" s="74"/>
      <c r="T17" s="74"/>
      <c r="U17" s="76"/>
    </row>
    <row r="18" outlineLevel="1">
      <c r="A18" s="47"/>
      <c r="B18" s="73" t="s">
        <v>183</v>
      </c>
      <c r="C18" s="42">
        <f t="shared" si="1"/>
        <v>0</v>
      </c>
      <c r="D18" s="26" t="s">
        <v>185</v>
      </c>
      <c r="E18" s="87" t="s">
        <v>186</v>
      </c>
      <c r="F18" s="70" t="b">
        <v>0</v>
      </c>
      <c r="G18" s="78" t="b">
        <v>0</v>
      </c>
      <c r="H18" s="78" t="b">
        <v>0</v>
      </c>
      <c r="I18" s="78" t="b">
        <v>0</v>
      </c>
      <c r="J18" s="78"/>
      <c r="K18" s="78"/>
      <c r="L18" s="74"/>
      <c r="M18" s="74"/>
      <c r="N18" s="74"/>
      <c r="O18" s="74"/>
      <c r="P18" s="74"/>
      <c r="Q18" s="74"/>
      <c r="R18" s="74"/>
      <c r="S18" s="74"/>
      <c r="T18" s="74"/>
      <c r="U18" s="76"/>
    </row>
    <row r="19" outlineLevel="1">
      <c r="A19" s="50"/>
      <c r="B19" s="50"/>
      <c r="C19" s="35">
        <f t="shared" si="1"/>
        <v>1</v>
      </c>
      <c r="D19" s="36" t="s">
        <v>190</v>
      </c>
      <c r="E19" s="83" t="s">
        <v>191</v>
      </c>
      <c r="F19" s="64" t="b">
        <v>1</v>
      </c>
      <c r="G19" s="65" t="b">
        <v>0</v>
      </c>
      <c r="H19" s="82" t="b">
        <v>0</v>
      </c>
      <c r="I19" s="65" t="b">
        <v>0</v>
      </c>
      <c r="J19" s="82"/>
      <c r="K19" s="65" t="s">
        <v>193</v>
      </c>
      <c r="L19" s="74"/>
      <c r="M19" s="74"/>
      <c r="N19" s="74"/>
      <c r="O19" s="74"/>
      <c r="P19" s="74"/>
      <c r="Q19" s="74"/>
      <c r="R19" s="74"/>
      <c r="S19" s="74"/>
      <c r="T19" s="74"/>
      <c r="U19" s="76"/>
    </row>
    <row r="20" outlineLevel="1">
      <c r="A20" s="85" t="s">
        <v>90</v>
      </c>
      <c r="B20" s="84" t="s">
        <v>95</v>
      </c>
      <c r="C20" s="42">
        <f t="shared" si="1"/>
        <v>0</v>
      </c>
      <c r="D20" s="26" t="s">
        <v>200</v>
      </c>
      <c r="E20" s="87" t="s">
        <v>202</v>
      </c>
      <c r="F20" s="70" t="b">
        <v>0</v>
      </c>
      <c r="G20" s="78" t="b">
        <v>0</v>
      </c>
      <c r="H20" s="78" t="b">
        <v>0</v>
      </c>
      <c r="I20" s="78" t="b">
        <v>0</v>
      </c>
      <c r="J20" s="78"/>
      <c r="K20" s="78"/>
      <c r="L20" s="74"/>
      <c r="M20" s="74"/>
      <c r="N20" s="74"/>
      <c r="O20" s="74"/>
      <c r="P20" s="74"/>
      <c r="Q20" s="74"/>
      <c r="R20" s="74"/>
      <c r="S20" s="74"/>
      <c r="T20" s="74"/>
      <c r="U20" s="76"/>
    </row>
    <row r="21" outlineLevel="1">
      <c r="A21" s="47"/>
      <c r="B21" s="47"/>
      <c r="C21" s="42">
        <f t="shared" si="1"/>
        <v>0</v>
      </c>
      <c r="D21" s="26" t="s">
        <v>204</v>
      </c>
      <c r="E21" s="87" t="s">
        <v>205</v>
      </c>
      <c r="F21" s="70" t="b">
        <v>0</v>
      </c>
      <c r="G21" s="78" t="b">
        <v>0</v>
      </c>
      <c r="H21" s="78" t="b">
        <v>0</v>
      </c>
      <c r="I21" s="78" t="b">
        <v>0</v>
      </c>
      <c r="J21" s="78"/>
      <c r="K21" s="71" t="s">
        <v>207</v>
      </c>
      <c r="L21" s="74"/>
      <c r="M21" s="74"/>
      <c r="N21" s="74"/>
      <c r="O21" s="74"/>
      <c r="P21" s="74"/>
      <c r="Q21" s="74"/>
      <c r="R21" s="74"/>
      <c r="S21" s="74"/>
      <c r="T21" s="74"/>
      <c r="U21" s="76"/>
    </row>
    <row r="22" outlineLevel="1">
      <c r="A22" s="50"/>
      <c r="B22" s="50"/>
      <c r="C22" s="35">
        <f t="shared" si="1"/>
        <v>4</v>
      </c>
      <c r="D22" s="36" t="s">
        <v>210</v>
      </c>
      <c r="E22" s="83" t="s">
        <v>211</v>
      </c>
      <c r="F22" s="64" t="b">
        <v>1</v>
      </c>
      <c r="G22" s="65" t="b">
        <v>1</v>
      </c>
      <c r="H22" s="65" t="b">
        <v>1</v>
      </c>
      <c r="I22" s="65" t="b">
        <v>1</v>
      </c>
      <c r="J22" s="82"/>
      <c r="K22" s="65" t="s">
        <v>213</v>
      </c>
      <c r="L22" s="74"/>
      <c r="M22" s="74"/>
      <c r="N22" s="74"/>
      <c r="O22" s="74"/>
      <c r="P22" s="74"/>
      <c r="Q22" s="74"/>
      <c r="R22" s="74"/>
      <c r="S22" s="74"/>
      <c r="T22" s="74"/>
      <c r="U22" s="76"/>
    </row>
    <row r="23" outlineLevel="1">
      <c r="A23" s="94" t="s">
        <v>124</v>
      </c>
      <c r="B23" s="110" t="s">
        <v>217</v>
      </c>
      <c r="C23" s="42">
        <f t="shared" si="1"/>
        <v>4</v>
      </c>
      <c r="D23" s="26" t="s">
        <v>222</v>
      </c>
      <c r="E23" s="87" t="s">
        <v>223</v>
      </c>
      <c r="F23" s="70" t="b">
        <v>1</v>
      </c>
      <c r="G23" s="71" t="b">
        <v>1</v>
      </c>
      <c r="H23" s="71" t="b">
        <v>1</v>
      </c>
      <c r="I23" s="71" t="b">
        <v>1</v>
      </c>
      <c r="J23" s="78"/>
      <c r="K23" s="71" t="s">
        <v>227</v>
      </c>
      <c r="L23" s="74"/>
      <c r="M23" s="74"/>
      <c r="N23" s="74"/>
      <c r="O23" s="74"/>
      <c r="P23" s="74"/>
      <c r="Q23" s="74"/>
      <c r="R23" s="74"/>
      <c r="S23" s="74"/>
      <c r="T23" s="74"/>
      <c r="U23" s="76"/>
    </row>
    <row r="24" outlineLevel="1">
      <c r="A24" s="47"/>
      <c r="B24" s="47"/>
      <c r="C24" s="42">
        <f t="shared" si="1"/>
        <v>0</v>
      </c>
      <c r="D24" s="26" t="s">
        <v>230</v>
      </c>
      <c r="E24" s="87" t="s">
        <v>232</v>
      </c>
      <c r="F24" s="70" t="b">
        <v>0</v>
      </c>
      <c r="G24" s="78" t="b">
        <v>0</v>
      </c>
      <c r="H24" s="78" t="b">
        <v>0</v>
      </c>
      <c r="I24" s="78" t="b">
        <v>0</v>
      </c>
      <c r="J24" s="78"/>
      <c r="K24" s="78"/>
      <c r="L24" s="74"/>
      <c r="M24" s="74"/>
      <c r="N24" s="74"/>
      <c r="O24" s="74"/>
      <c r="P24" s="74"/>
      <c r="Q24" s="74"/>
      <c r="R24" s="74"/>
      <c r="S24" s="74"/>
      <c r="T24" s="74"/>
      <c r="U24" s="76"/>
    </row>
    <row r="25" outlineLevel="1">
      <c r="A25" s="47"/>
      <c r="B25" s="47"/>
      <c r="C25" s="42">
        <f t="shared" si="1"/>
        <v>2</v>
      </c>
      <c r="D25" s="26" t="s">
        <v>237</v>
      </c>
      <c r="E25" s="87" t="s">
        <v>238</v>
      </c>
      <c r="F25" s="70" t="b">
        <v>1</v>
      </c>
      <c r="G25" s="71" t="b">
        <v>1</v>
      </c>
      <c r="H25" s="71" t="b">
        <v>0</v>
      </c>
      <c r="I25" s="71" t="b">
        <v>0</v>
      </c>
      <c r="J25" s="78"/>
      <c r="K25" s="71" t="s">
        <v>239</v>
      </c>
      <c r="L25" s="74"/>
      <c r="M25" s="74"/>
      <c r="N25" s="74"/>
      <c r="O25" s="74"/>
      <c r="P25" s="74"/>
      <c r="Q25" s="74"/>
      <c r="R25" s="74"/>
      <c r="S25" s="74"/>
      <c r="T25" s="74"/>
      <c r="U25" s="76"/>
    </row>
    <row r="26" outlineLevel="1">
      <c r="A26" s="47"/>
      <c r="B26" s="50"/>
      <c r="C26" s="35">
        <f t="shared" si="1"/>
        <v>0</v>
      </c>
      <c r="D26" s="36" t="s">
        <v>240</v>
      </c>
      <c r="E26" s="83" t="s">
        <v>241</v>
      </c>
      <c r="F26" s="64" t="b">
        <v>0</v>
      </c>
      <c r="G26" s="82" t="b">
        <v>0</v>
      </c>
      <c r="H26" s="82" t="b">
        <v>0</v>
      </c>
      <c r="I26" s="82" t="b">
        <v>0</v>
      </c>
      <c r="J26" s="82"/>
      <c r="K26" s="82"/>
      <c r="L26" s="74"/>
      <c r="M26" s="74"/>
      <c r="N26" s="74"/>
      <c r="O26" s="74"/>
      <c r="P26" s="74"/>
      <c r="Q26" s="74"/>
      <c r="R26" s="74"/>
      <c r="S26" s="74"/>
      <c r="T26" s="74"/>
      <c r="U26" s="76"/>
    </row>
    <row r="27" outlineLevel="1">
      <c r="A27" s="47"/>
      <c r="B27" s="91" t="s">
        <v>244</v>
      </c>
      <c r="C27" s="42">
        <f t="shared" si="1"/>
        <v>1</v>
      </c>
      <c r="D27" s="26" t="s">
        <v>247</v>
      </c>
      <c r="E27" s="87" t="s">
        <v>248</v>
      </c>
      <c r="F27" s="70" t="b">
        <v>1</v>
      </c>
      <c r="G27" s="78" t="b">
        <v>0</v>
      </c>
      <c r="H27" s="78" t="b">
        <v>0</v>
      </c>
      <c r="I27" s="78" t="b">
        <v>0</v>
      </c>
      <c r="J27" s="78"/>
      <c r="K27" s="78"/>
      <c r="L27" s="74"/>
      <c r="M27" s="74"/>
      <c r="N27" s="74"/>
      <c r="O27" s="74"/>
      <c r="P27" s="74"/>
      <c r="Q27" s="74"/>
      <c r="R27" s="74"/>
      <c r="S27" s="74"/>
      <c r="T27" s="74"/>
      <c r="U27" s="76"/>
    </row>
    <row r="28" outlineLevel="1">
      <c r="A28" s="47"/>
      <c r="B28" s="50"/>
      <c r="C28" s="35">
        <f t="shared" si="1"/>
        <v>3</v>
      </c>
      <c r="D28" s="36" t="s">
        <v>249</v>
      </c>
      <c r="E28" s="83" t="s">
        <v>250</v>
      </c>
      <c r="F28" s="64" t="b">
        <v>1</v>
      </c>
      <c r="G28" s="65" t="b">
        <v>1</v>
      </c>
      <c r="H28" s="65" t="b">
        <v>0</v>
      </c>
      <c r="I28" s="65" t="b">
        <v>1</v>
      </c>
      <c r="J28" s="82"/>
      <c r="K28" s="65" t="s">
        <v>251</v>
      </c>
      <c r="L28" s="74"/>
      <c r="M28" s="74"/>
      <c r="N28" s="74"/>
      <c r="O28" s="74"/>
      <c r="P28" s="74"/>
      <c r="Q28" s="74"/>
      <c r="R28" s="74"/>
      <c r="S28" s="74"/>
      <c r="T28" s="74"/>
      <c r="U28" s="76"/>
    </row>
    <row r="29" outlineLevel="1">
      <c r="A29" s="47"/>
      <c r="B29" s="117" t="s">
        <v>252</v>
      </c>
      <c r="C29" s="42">
        <f t="shared" si="1"/>
        <v>3</v>
      </c>
      <c r="D29" s="26" t="s">
        <v>253</v>
      </c>
      <c r="E29" s="87" t="s">
        <v>254</v>
      </c>
      <c r="F29" s="70" t="b">
        <v>1</v>
      </c>
      <c r="G29" s="71" t="b">
        <v>1</v>
      </c>
      <c r="H29" s="71" t="b">
        <v>1</v>
      </c>
      <c r="I29" s="71" t="b">
        <v>0</v>
      </c>
      <c r="J29" s="78"/>
      <c r="K29" s="71" t="s">
        <v>255</v>
      </c>
      <c r="L29" s="74"/>
      <c r="M29" s="74"/>
      <c r="N29" s="74"/>
      <c r="O29" s="74"/>
      <c r="P29" s="74"/>
      <c r="Q29" s="74"/>
      <c r="R29" s="74"/>
      <c r="S29" s="74"/>
      <c r="T29" s="74"/>
      <c r="U29" s="76"/>
    </row>
    <row r="30" outlineLevel="1">
      <c r="A30" s="47"/>
      <c r="B30" s="50"/>
      <c r="C30" s="35">
        <f t="shared" si="1"/>
        <v>0</v>
      </c>
      <c r="D30" s="36" t="s">
        <v>256</v>
      </c>
      <c r="E30" s="83" t="s">
        <v>257</v>
      </c>
      <c r="F30" s="64" t="b">
        <v>0</v>
      </c>
      <c r="G30" s="82" t="b">
        <v>0</v>
      </c>
      <c r="H30" s="82" t="b">
        <v>0</v>
      </c>
      <c r="I30" s="82" t="b">
        <v>0</v>
      </c>
      <c r="J30" s="82"/>
      <c r="K30" s="82"/>
      <c r="L30" s="74"/>
      <c r="M30" s="74"/>
      <c r="N30" s="74"/>
      <c r="O30" s="74"/>
      <c r="P30" s="74"/>
      <c r="Q30" s="74"/>
      <c r="R30" s="74"/>
      <c r="S30" s="74"/>
      <c r="T30" s="74"/>
      <c r="U30" s="76"/>
    </row>
    <row r="31" outlineLevel="1">
      <c r="A31" s="47"/>
      <c r="B31" s="119" t="s">
        <v>157</v>
      </c>
      <c r="C31" s="42">
        <f t="shared" si="1"/>
        <v>0</v>
      </c>
      <c r="D31" s="26" t="s">
        <v>258</v>
      </c>
      <c r="E31" s="87" t="s">
        <v>259</v>
      </c>
      <c r="F31" s="70" t="b">
        <v>0</v>
      </c>
      <c r="G31" s="78" t="b">
        <v>0</v>
      </c>
      <c r="H31" s="78" t="b">
        <v>0</v>
      </c>
      <c r="I31" s="78" t="b">
        <v>0</v>
      </c>
      <c r="J31" s="78"/>
      <c r="K31" s="71" t="s">
        <v>260</v>
      </c>
      <c r="L31" s="74"/>
      <c r="M31" s="74"/>
      <c r="N31" s="74"/>
      <c r="O31" s="74"/>
      <c r="P31" s="74"/>
      <c r="Q31" s="74"/>
      <c r="R31" s="74"/>
      <c r="S31" s="74"/>
      <c r="T31" s="74"/>
      <c r="U31" s="76"/>
    </row>
    <row r="32" outlineLevel="1">
      <c r="A32" s="50"/>
      <c r="B32" s="50"/>
      <c r="C32" s="42">
        <f t="shared" si="1"/>
        <v>4</v>
      </c>
      <c r="D32" s="36" t="s">
        <v>261</v>
      </c>
      <c r="E32" s="83" t="s">
        <v>262</v>
      </c>
      <c r="F32" s="64" t="b">
        <v>1</v>
      </c>
      <c r="G32" s="65" t="b">
        <v>1</v>
      </c>
      <c r="H32" s="65" t="b">
        <v>1</v>
      </c>
      <c r="I32" s="65" t="b">
        <v>1</v>
      </c>
      <c r="J32" s="65"/>
      <c r="K32" s="65" t="s">
        <v>263</v>
      </c>
      <c r="L32" s="74"/>
      <c r="M32" s="74"/>
      <c r="N32" s="74"/>
      <c r="O32" s="74"/>
      <c r="P32" s="74"/>
      <c r="Q32" s="74"/>
      <c r="R32" s="74"/>
      <c r="S32" s="74"/>
      <c r="T32" s="74"/>
      <c r="U32" s="76"/>
    </row>
    <row r="33">
      <c r="A33" s="97"/>
      <c r="B33" s="97"/>
      <c r="C33" s="97"/>
      <c r="D33" s="97"/>
      <c r="E33" s="97"/>
      <c r="F33" s="97"/>
      <c r="G33" s="97"/>
      <c r="H33" s="97"/>
      <c r="I33" s="97"/>
      <c r="J33" s="97"/>
      <c r="K33" s="97"/>
      <c r="L33" s="74"/>
      <c r="M33" s="74"/>
      <c r="N33" s="74"/>
      <c r="O33" s="74"/>
      <c r="P33" s="74"/>
      <c r="Q33" s="74"/>
      <c r="R33" s="74"/>
      <c r="S33" s="74"/>
      <c r="T33" s="74"/>
      <c r="U33" s="76"/>
    </row>
    <row r="34" outlineLevel="1">
      <c r="A34" s="100" t="s">
        <v>4</v>
      </c>
      <c r="C34" s="102" t="s">
        <v>184</v>
      </c>
      <c r="D34" s="103">
        <f>countif(L37:L60,TRUE)</f>
        <v>10</v>
      </c>
      <c r="E34" s="104" t="s">
        <v>195</v>
      </c>
      <c r="F34" s="102" t="s">
        <v>196</v>
      </c>
      <c r="H34" s="105">
        <f>IFERROR(__xludf.DUMMYFUNCTION("COUNTUNIQUE(D5:D32)"),28.0)</f>
        <v>28</v>
      </c>
      <c r="I34" s="107" t="s">
        <v>206</v>
      </c>
      <c r="J34" s="108"/>
      <c r="K34" s="108">
        <f>H34/3</f>
        <v>9.333333333</v>
      </c>
      <c r="L34" s="26"/>
      <c r="M34" s="26"/>
      <c r="N34" s="26"/>
      <c r="O34" s="26"/>
      <c r="P34" s="26"/>
      <c r="Q34" s="26"/>
      <c r="R34" s="26"/>
      <c r="S34" s="26"/>
      <c r="T34" s="26"/>
      <c r="U34" s="27"/>
    </row>
    <row r="35">
      <c r="A35" s="109" t="s">
        <v>216</v>
      </c>
      <c r="B35" s="13"/>
      <c r="C35" s="111">
        <v>2.0</v>
      </c>
      <c r="D35" s="9"/>
      <c r="E35" s="112" t="s">
        <v>226</v>
      </c>
      <c r="F35" s="9"/>
      <c r="G35" s="9"/>
      <c r="H35" s="9"/>
      <c r="I35" s="9"/>
      <c r="J35" s="9"/>
      <c r="K35" s="9"/>
      <c r="L35" s="74"/>
      <c r="M35" s="74"/>
      <c r="N35" s="74"/>
      <c r="O35" s="74"/>
      <c r="P35" s="74"/>
      <c r="Q35" s="74"/>
      <c r="R35" s="74"/>
      <c r="S35" s="74"/>
      <c r="T35" s="74"/>
      <c r="U35" s="76"/>
    </row>
    <row r="36">
      <c r="A36" s="17" t="s">
        <v>7</v>
      </c>
      <c r="B36" s="19"/>
      <c r="C36" s="20" t="s">
        <v>8</v>
      </c>
      <c r="D36" s="21" t="s">
        <v>9</v>
      </c>
      <c r="E36" s="23" t="s">
        <v>10</v>
      </c>
      <c r="F36" s="20" t="s">
        <v>12</v>
      </c>
      <c r="G36" s="20" t="s">
        <v>13</v>
      </c>
      <c r="H36" s="20" t="s">
        <v>234</v>
      </c>
      <c r="I36" s="20" t="s">
        <v>17</v>
      </c>
      <c r="J36" s="20"/>
      <c r="K36" s="20" t="s">
        <v>18</v>
      </c>
      <c r="L36" s="21" t="s">
        <v>235</v>
      </c>
      <c r="M36" s="74"/>
      <c r="N36" s="74"/>
      <c r="O36" s="74"/>
      <c r="P36" s="74"/>
      <c r="Q36" s="74"/>
      <c r="R36" s="74"/>
      <c r="S36" s="74"/>
      <c r="T36" s="74"/>
      <c r="U36" s="76"/>
    </row>
    <row r="37">
      <c r="A37" s="79" t="s">
        <v>19</v>
      </c>
      <c r="B37" s="34" t="s">
        <v>24</v>
      </c>
      <c r="C37" s="35">
        <f t="shared" ref="C37:C60" si="4">countif(F37:I37,TRUE)</f>
        <v>3</v>
      </c>
      <c r="D37" s="9" t="str">
        <f t="shared" ref="D37:I37" si="2">if($C5&gt;$C$35,D5,"")</f>
        <v>2.NBT.A.1</v>
      </c>
      <c r="E37" s="114" t="str">
        <f t="shared" si="2"/>
        <v>Understand that the three digits of a three-digit number represent amounts of hundreds, tens, and ones; e.g., 706 equals 7 hundreds, 0 tens, and 6 ones. Understand the following as special cases:</v>
      </c>
      <c r="F37" s="115" t="b">
        <f t="shared" si="2"/>
        <v>1</v>
      </c>
      <c r="G37" s="115" t="b">
        <f t="shared" si="2"/>
        <v>1</v>
      </c>
      <c r="H37" s="115" t="b">
        <f t="shared" si="2"/>
        <v>1</v>
      </c>
      <c r="I37" s="115" t="b">
        <f t="shared" si="2"/>
        <v>0</v>
      </c>
      <c r="J37" s="9"/>
      <c r="K37" s="114" t="str">
        <f t="shared" ref="K37:K60" si="6">if($C5&gt;$C$35,K5,"")</f>
        <v>2.nbt.a.1a and a.1b are targets. 
R-place value is needed to understand rounding
E-foundation for # sense 
A- on Istation</v>
      </c>
      <c r="L37" s="116" t="b">
        <v>1</v>
      </c>
      <c r="M37" s="9">
        <f t="shared" ref="M37:U37" si="3">if($L37=TRUE,C37,"")</f>
        <v>3</v>
      </c>
      <c r="N37" s="9" t="str">
        <f t="shared" si="3"/>
        <v>2.NBT.A.1</v>
      </c>
      <c r="O37" s="9" t="str">
        <f t="shared" si="3"/>
        <v>Understand that the three digits of a three-digit number represent amounts of hundreds, tens, and ones; e.g., 706 equals 7 hundreds, 0 tens, and 6 ones. Understand the following as special cases:</v>
      </c>
      <c r="P37" s="9" t="b">
        <f t="shared" si="3"/>
        <v>1</v>
      </c>
      <c r="Q37" s="9" t="b">
        <f t="shared" si="3"/>
        <v>1</v>
      </c>
      <c r="R37" s="9" t="b">
        <f t="shared" si="3"/>
        <v>1</v>
      </c>
      <c r="S37" s="9" t="b">
        <f t="shared" si="3"/>
        <v>0</v>
      </c>
      <c r="T37" s="9" t="str">
        <f t="shared" si="3"/>
        <v/>
      </c>
      <c r="U37" s="11" t="str">
        <f t="shared" si="3"/>
        <v>2.nbt.a.1a and a.1b are targets. 
R-place value is needed to understand rounding
E-foundation for # sense 
A- on Istation</v>
      </c>
    </row>
    <row r="38">
      <c r="A38" s="47"/>
      <c r="B38" s="41" t="s">
        <v>24</v>
      </c>
      <c r="C38" s="42">
        <f t="shared" si="4"/>
        <v>0</v>
      </c>
      <c r="D38" s="9" t="str">
        <f t="shared" ref="D38:I38" si="5">if($C6&gt;$C$35,D6,"")</f>
        <v/>
      </c>
      <c r="E38" s="114" t="str">
        <f t="shared" si="5"/>
        <v/>
      </c>
      <c r="F38" s="115" t="str">
        <f t="shared" si="5"/>
        <v/>
      </c>
      <c r="G38" s="115" t="str">
        <f t="shared" si="5"/>
        <v/>
      </c>
      <c r="H38" s="115" t="str">
        <f t="shared" si="5"/>
        <v/>
      </c>
      <c r="I38" s="115" t="str">
        <f t="shared" si="5"/>
        <v/>
      </c>
      <c r="J38" s="9"/>
      <c r="K38" s="114" t="str">
        <f t="shared" si="6"/>
        <v/>
      </c>
      <c r="L38" s="116" t="b">
        <v>1</v>
      </c>
      <c r="M38" s="9">
        <f t="shared" ref="M38:U38" si="7">if($L38=TRUE,C38,"")</f>
        <v>0</v>
      </c>
      <c r="N38" s="9" t="str">
        <f t="shared" si="7"/>
        <v/>
      </c>
      <c r="O38" s="9" t="str">
        <f t="shared" si="7"/>
        <v/>
      </c>
      <c r="P38" s="9" t="str">
        <f t="shared" si="7"/>
        <v/>
      </c>
      <c r="Q38" s="9" t="str">
        <f t="shared" si="7"/>
        <v/>
      </c>
      <c r="R38" s="9" t="str">
        <f t="shared" si="7"/>
        <v/>
      </c>
      <c r="S38" s="9" t="str">
        <f t="shared" si="7"/>
        <v/>
      </c>
      <c r="T38" s="9" t="str">
        <f t="shared" si="7"/>
        <v/>
      </c>
      <c r="U38" s="11" t="str">
        <f t="shared" si="7"/>
        <v/>
      </c>
    </row>
    <row r="39">
      <c r="A39" s="47"/>
      <c r="B39" s="47"/>
      <c r="C39" s="42">
        <f t="shared" si="4"/>
        <v>0</v>
      </c>
      <c r="D39" s="9" t="str">
        <f t="shared" ref="D39:I39" si="8">if($C7&gt;$C$35,D7,"")</f>
        <v/>
      </c>
      <c r="E39" s="114" t="str">
        <f t="shared" si="8"/>
        <v/>
      </c>
      <c r="F39" s="115" t="str">
        <f t="shared" si="8"/>
        <v/>
      </c>
      <c r="G39" s="115" t="str">
        <f t="shared" si="8"/>
        <v/>
      </c>
      <c r="H39" s="115" t="str">
        <f t="shared" si="8"/>
        <v/>
      </c>
      <c r="I39" s="115" t="str">
        <f t="shared" si="8"/>
        <v/>
      </c>
      <c r="J39" s="9"/>
      <c r="K39" s="114" t="str">
        <f t="shared" si="6"/>
        <v/>
      </c>
      <c r="L39" s="116" t="b">
        <v>1</v>
      </c>
      <c r="M39" s="9">
        <f t="shared" ref="M39:U39" si="9">if($L39=TRUE,C39,"")</f>
        <v>0</v>
      </c>
      <c r="N39" s="9" t="str">
        <f t="shared" si="9"/>
        <v/>
      </c>
      <c r="O39" s="9" t="str">
        <f t="shared" si="9"/>
        <v/>
      </c>
      <c r="P39" s="9" t="str">
        <f t="shared" si="9"/>
        <v/>
      </c>
      <c r="Q39" s="9" t="str">
        <f t="shared" si="9"/>
        <v/>
      </c>
      <c r="R39" s="9" t="str">
        <f t="shared" si="9"/>
        <v/>
      </c>
      <c r="S39" s="9" t="str">
        <f t="shared" si="9"/>
        <v/>
      </c>
      <c r="T39" s="9" t="str">
        <f t="shared" si="9"/>
        <v/>
      </c>
      <c r="U39" s="11" t="str">
        <f t="shared" si="9"/>
        <v/>
      </c>
    </row>
    <row r="40">
      <c r="A40" s="47"/>
      <c r="B40" s="47"/>
      <c r="C40" s="42">
        <f t="shared" si="4"/>
        <v>3</v>
      </c>
      <c r="D40" s="9" t="str">
        <f t="shared" ref="D40:I40" si="10">if($C8&gt;$C$35,D8,"")</f>
        <v>2.NBT.A.2</v>
      </c>
      <c r="E40" s="114" t="str">
        <f t="shared" si="10"/>
        <v>Count within 1000; skip-count by 5s, 10s, and 100s.</v>
      </c>
      <c r="F40" s="115" t="b">
        <f t="shared" si="10"/>
        <v>1</v>
      </c>
      <c r="G40" s="115" t="b">
        <f t="shared" si="10"/>
        <v>1</v>
      </c>
      <c r="H40" s="115" t="b">
        <f t="shared" si="10"/>
        <v>1</v>
      </c>
      <c r="I40" s="115" t="b">
        <f t="shared" si="10"/>
        <v>0</v>
      </c>
      <c r="J40" s="9"/>
      <c r="K40" s="114" t="str">
        <f t="shared" si="6"/>
        <v>R- skip counting is needed to understand multiplication
E- need it for upper grades / foundation skill
A-on istation
2.nbt.a.3 target</v>
      </c>
      <c r="L40" s="122" t="b">
        <v>0</v>
      </c>
      <c r="M40" s="9" t="str">
        <f t="shared" ref="M40:U40" si="11">if($L40=TRUE,C40,"")</f>
        <v/>
      </c>
      <c r="N40" s="9" t="str">
        <f t="shared" si="11"/>
        <v/>
      </c>
      <c r="O40" s="9" t="str">
        <f t="shared" si="11"/>
        <v/>
      </c>
      <c r="P40" s="9" t="str">
        <f t="shared" si="11"/>
        <v/>
      </c>
      <c r="Q40" s="9" t="str">
        <f t="shared" si="11"/>
        <v/>
      </c>
      <c r="R40" s="9" t="str">
        <f t="shared" si="11"/>
        <v/>
      </c>
      <c r="S40" s="9" t="str">
        <f t="shared" si="11"/>
        <v/>
      </c>
      <c r="T40" s="9" t="str">
        <f t="shared" si="11"/>
        <v/>
      </c>
      <c r="U40" s="11" t="str">
        <f t="shared" si="11"/>
        <v/>
      </c>
    </row>
    <row r="41">
      <c r="A41" s="47"/>
      <c r="B41" s="47"/>
      <c r="C41" s="42">
        <f t="shared" si="4"/>
        <v>0</v>
      </c>
      <c r="D41" s="9" t="str">
        <f t="shared" ref="D41:I41" si="12">if($C9&gt;$C$35,D9,"")</f>
        <v/>
      </c>
      <c r="E41" s="114" t="str">
        <f t="shared" si="12"/>
        <v/>
      </c>
      <c r="F41" s="115" t="str">
        <f t="shared" si="12"/>
        <v/>
      </c>
      <c r="G41" s="115" t="str">
        <f t="shared" si="12"/>
        <v/>
      </c>
      <c r="H41" s="115" t="str">
        <f t="shared" si="12"/>
        <v/>
      </c>
      <c r="I41" s="115" t="str">
        <f t="shared" si="12"/>
        <v/>
      </c>
      <c r="J41" s="9"/>
      <c r="K41" s="114" t="str">
        <f t="shared" si="6"/>
        <v/>
      </c>
      <c r="L41" s="122" t="b">
        <v>0</v>
      </c>
      <c r="M41" s="9" t="str">
        <f t="shared" ref="M41:U41" si="13">if($L41=TRUE,C41,"")</f>
        <v/>
      </c>
      <c r="N41" s="9" t="str">
        <f t="shared" si="13"/>
        <v/>
      </c>
      <c r="O41" s="9" t="str">
        <f t="shared" si="13"/>
        <v/>
      </c>
      <c r="P41" s="9" t="str">
        <f t="shared" si="13"/>
        <v/>
      </c>
      <c r="Q41" s="9" t="str">
        <f t="shared" si="13"/>
        <v/>
      </c>
      <c r="R41" s="9" t="str">
        <f t="shared" si="13"/>
        <v/>
      </c>
      <c r="S41" s="9" t="str">
        <f t="shared" si="13"/>
        <v/>
      </c>
      <c r="T41" s="9" t="str">
        <f t="shared" si="13"/>
        <v/>
      </c>
      <c r="U41" s="11" t="str">
        <f t="shared" si="13"/>
        <v/>
      </c>
    </row>
    <row r="42">
      <c r="A42" s="47"/>
      <c r="B42" s="50"/>
      <c r="C42" s="35">
        <f t="shared" si="4"/>
        <v>4</v>
      </c>
      <c r="D42" s="9" t="str">
        <f t="shared" ref="D42:I42" si="14">if($C10&gt;$C$35,D10,"")</f>
        <v>2.NBT.A.4</v>
      </c>
      <c r="E42" s="114" t="str">
        <f t="shared" si="14"/>
        <v>Compare two three-digit numbers based on meanings of the hundreds, tens, and ones digits, using &gt;, =, and &lt; symbols to record the results of comparisons.</v>
      </c>
      <c r="F42" s="115" t="b">
        <f t="shared" si="14"/>
        <v>1</v>
      </c>
      <c r="G42" s="115" t="b">
        <f t="shared" si="14"/>
        <v>1</v>
      </c>
      <c r="H42" s="115" t="b">
        <f t="shared" si="14"/>
        <v>1</v>
      </c>
      <c r="I42" s="115" t="b">
        <f t="shared" si="14"/>
        <v>1</v>
      </c>
      <c r="J42" s="9"/>
      <c r="K42" s="114" t="str">
        <f t="shared" si="6"/>
        <v>R- yes needed foundational
E- yes
A- on istation/ on older grades test yes
L- comparison is used in reading and data with science</v>
      </c>
      <c r="L42" s="122" t="b">
        <v>0</v>
      </c>
      <c r="M42" s="9" t="str">
        <f t="shared" ref="M42:U42" si="15">if($L42=TRUE,C42,"")</f>
        <v/>
      </c>
      <c r="N42" s="9" t="str">
        <f t="shared" si="15"/>
        <v/>
      </c>
      <c r="O42" s="9" t="str">
        <f t="shared" si="15"/>
        <v/>
      </c>
      <c r="P42" s="9" t="str">
        <f t="shared" si="15"/>
        <v/>
      </c>
      <c r="Q42" s="9" t="str">
        <f t="shared" si="15"/>
        <v/>
      </c>
      <c r="R42" s="9" t="str">
        <f t="shared" si="15"/>
        <v/>
      </c>
      <c r="S42" s="9" t="str">
        <f t="shared" si="15"/>
        <v/>
      </c>
      <c r="T42" s="9" t="str">
        <f t="shared" si="15"/>
        <v/>
      </c>
      <c r="U42" s="11" t="str">
        <f t="shared" si="15"/>
        <v/>
      </c>
    </row>
    <row r="43">
      <c r="A43" s="47"/>
      <c r="B43" s="51" t="s">
        <v>38</v>
      </c>
      <c r="C43" s="42">
        <f t="shared" si="4"/>
        <v>3</v>
      </c>
      <c r="D43" s="9" t="str">
        <f t="shared" ref="D43:I43" si="16">if($C11&gt;$C$35,D11,"")</f>
        <v>2.NBT.B.5</v>
      </c>
      <c r="E43" s="114" t="str">
        <f t="shared" si="16"/>
        <v>Fluently add and subtract within 100 using strategies based on place value, properties of operations, and/or the relationship between addition and subtraction</v>
      </c>
      <c r="F43" s="115" t="b">
        <f t="shared" si="16"/>
        <v>1</v>
      </c>
      <c r="G43" s="115" t="b">
        <f t="shared" si="16"/>
        <v>1</v>
      </c>
      <c r="H43" s="115" t="b">
        <f t="shared" si="16"/>
        <v>1</v>
      </c>
      <c r="I43" s="115" t="b">
        <f t="shared" si="16"/>
        <v>0</v>
      </c>
      <c r="J43" s="9"/>
      <c r="K43" s="114" t="str">
        <f t="shared" si="6"/>
        <v>R- upper grades go to 4 digit numbers
E- w/in other math areas this is used, used in upper grades
A- on istation </v>
      </c>
      <c r="L43" s="122" t="b">
        <v>0</v>
      </c>
      <c r="M43" s="9" t="str">
        <f t="shared" ref="M43:U43" si="17">if($L43=TRUE,C43,"")</f>
        <v/>
      </c>
      <c r="N43" s="9" t="str">
        <f t="shared" si="17"/>
        <v/>
      </c>
      <c r="O43" s="9" t="str">
        <f t="shared" si="17"/>
        <v/>
      </c>
      <c r="P43" s="9" t="str">
        <f t="shared" si="17"/>
        <v/>
      </c>
      <c r="Q43" s="9" t="str">
        <f t="shared" si="17"/>
        <v/>
      </c>
      <c r="R43" s="9" t="str">
        <f t="shared" si="17"/>
        <v/>
      </c>
      <c r="S43" s="9" t="str">
        <f t="shared" si="17"/>
        <v/>
      </c>
      <c r="T43" s="9" t="str">
        <f t="shared" si="17"/>
        <v/>
      </c>
      <c r="U43" s="11" t="str">
        <f t="shared" si="17"/>
        <v/>
      </c>
    </row>
    <row r="44">
      <c r="A44" s="47"/>
      <c r="B44" s="47"/>
      <c r="C44" s="42">
        <f t="shared" si="4"/>
        <v>0</v>
      </c>
      <c r="D44" s="9" t="str">
        <f t="shared" ref="D44:I44" si="18">if($C12&gt;$C$35,D12,"")</f>
        <v/>
      </c>
      <c r="E44" s="114" t="str">
        <f t="shared" si="18"/>
        <v/>
      </c>
      <c r="F44" s="115" t="str">
        <f t="shared" si="18"/>
        <v/>
      </c>
      <c r="G44" s="115" t="str">
        <f t="shared" si="18"/>
        <v/>
      </c>
      <c r="H44" s="115" t="str">
        <f t="shared" si="18"/>
        <v/>
      </c>
      <c r="I44" s="115" t="str">
        <f t="shared" si="18"/>
        <v/>
      </c>
      <c r="J44" s="9"/>
      <c r="K44" s="114" t="str">
        <f t="shared" si="6"/>
        <v/>
      </c>
      <c r="L44" s="116" t="b">
        <v>1</v>
      </c>
      <c r="M44" s="9">
        <f t="shared" ref="M44:U44" si="19">if($L44=TRUE,C44,"")</f>
        <v>0</v>
      </c>
      <c r="N44" s="9" t="str">
        <f t="shared" si="19"/>
        <v/>
      </c>
      <c r="O44" s="9" t="str">
        <f t="shared" si="19"/>
        <v/>
      </c>
      <c r="P44" s="9" t="str">
        <f t="shared" si="19"/>
        <v/>
      </c>
      <c r="Q44" s="9" t="str">
        <f t="shared" si="19"/>
        <v/>
      </c>
      <c r="R44" s="9" t="str">
        <f t="shared" si="19"/>
        <v/>
      </c>
      <c r="S44" s="9" t="str">
        <f t="shared" si="19"/>
        <v/>
      </c>
      <c r="T44" s="9" t="str">
        <f t="shared" si="19"/>
        <v/>
      </c>
      <c r="U44" s="11" t="str">
        <f t="shared" si="19"/>
        <v/>
      </c>
    </row>
    <row r="45">
      <c r="A45" s="47"/>
      <c r="B45" s="47"/>
      <c r="C45" s="42">
        <f t="shared" si="4"/>
        <v>0</v>
      </c>
      <c r="D45" s="9" t="str">
        <f t="shared" ref="D45:I45" si="20">if($C13&gt;$C$35,D13,"")</f>
        <v/>
      </c>
      <c r="E45" s="114" t="str">
        <f t="shared" si="20"/>
        <v/>
      </c>
      <c r="F45" s="115" t="str">
        <f t="shared" si="20"/>
        <v/>
      </c>
      <c r="G45" s="115" t="str">
        <f t="shared" si="20"/>
        <v/>
      </c>
      <c r="H45" s="115" t="str">
        <f t="shared" si="20"/>
        <v/>
      </c>
      <c r="I45" s="115" t="str">
        <f t="shared" si="20"/>
        <v/>
      </c>
      <c r="J45" s="9"/>
      <c r="K45" s="114" t="str">
        <f t="shared" si="6"/>
        <v/>
      </c>
      <c r="L45" s="116" t="b">
        <v>1</v>
      </c>
      <c r="M45" s="9">
        <f t="shared" ref="M45:U45" si="21">if($L45=TRUE,C45,"")</f>
        <v>0</v>
      </c>
      <c r="N45" s="9" t="str">
        <f t="shared" si="21"/>
        <v/>
      </c>
      <c r="O45" s="9" t="str">
        <f t="shared" si="21"/>
        <v/>
      </c>
      <c r="P45" s="9" t="str">
        <f t="shared" si="21"/>
        <v/>
      </c>
      <c r="Q45" s="9" t="str">
        <f t="shared" si="21"/>
        <v/>
      </c>
      <c r="R45" s="9" t="str">
        <f t="shared" si="21"/>
        <v/>
      </c>
      <c r="S45" s="9" t="str">
        <f t="shared" si="21"/>
        <v/>
      </c>
      <c r="T45" s="9" t="str">
        <f t="shared" si="21"/>
        <v/>
      </c>
      <c r="U45" s="11" t="str">
        <f t="shared" si="21"/>
        <v/>
      </c>
    </row>
    <row r="46">
      <c r="A46" s="47"/>
      <c r="B46" s="47"/>
      <c r="C46" s="42">
        <f t="shared" si="4"/>
        <v>0</v>
      </c>
      <c r="D46" s="9" t="str">
        <f t="shared" ref="D46:I46" si="22">if($C14&gt;$C$35,D14,"")</f>
        <v/>
      </c>
      <c r="E46" s="114" t="str">
        <f t="shared" si="22"/>
        <v/>
      </c>
      <c r="F46" s="115" t="str">
        <f t="shared" si="22"/>
        <v/>
      </c>
      <c r="G46" s="115" t="str">
        <f t="shared" si="22"/>
        <v/>
      </c>
      <c r="H46" s="115" t="str">
        <f t="shared" si="22"/>
        <v/>
      </c>
      <c r="I46" s="115" t="str">
        <f t="shared" si="22"/>
        <v/>
      </c>
      <c r="J46" s="9"/>
      <c r="K46" s="114" t="str">
        <f t="shared" si="6"/>
        <v/>
      </c>
      <c r="L46" s="122" t="b">
        <v>0</v>
      </c>
      <c r="M46" s="9" t="str">
        <f t="shared" ref="M46:U46" si="23">if($L46=TRUE,C46,"")</f>
        <v/>
      </c>
      <c r="N46" s="9" t="str">
        <f t="shared" si="23"/>
        <v/>
      </c>
      <c r="O46" s="9" t="str">
        <f t="shared" si="23"/>
        <v/>
      </c>
      <c r="P46" s="9" t="str">
        <f t="shared" si="23"/>
        <v/>
      </c>
      <c r="Q46" s="9" t="str">
        <f t="shared" si="23"/>
        <v/>
      </c>
      <c r="R46" s="9" t="str">
        <f t="shared" si="23"/>
        <v/>
      </c>
      <c r="S46" s="9" t="str">
        <f t="shared" si="23"/>
        <v/>
      </c>
      <c r="T46" s="9" t="str">
        <f t="shared" si="23"/>
        <v/>
      </c>
      <c r="U46" s="11" t="str">
        <f t="shared" si="23"/>
        <v/>
      </c>
    </row>
    <row r="47">
      <c r="A47" s="50"/>
      <c r="B47" s="50"/>
      <c r="C47" s="35">
        <f t="shared" si="4"/>
        <v>0</v>
      </c>
      <c r="D47" s="9" t="str">
        <f t="shared" ref="D47:I47" si="24">if($C15&gt;$C$35,D15,"")</f>
        <v/>
      </c>
      <c r="E47" s="114" t="str">
        <f t="shared" si="24"/>
        <v/>
      </c>
      <c r="F47" s="115" t="str">
        <f t="shared" si="24"/>
        <v/>
      </c>
      <c r="G47" s="115" t="str">
        <f t="shared" si="24"/>
        <v/>
      </c>
      <c r="H47" s="115" t="str">
        <f t="shared" si="24"/>
        <v/>
      </c>
      <c r="I47" s="115" t="str">
        <f t="shared" si="24"/>
        <v/>
      </c>
      <c r="J47" s="9"/>
      <c r="K47" s="114" t="str">
        <f t="shared" si="6"/>
        <v/>
      </c>
      <c r="L47" s="122" t="b">
        <v>0</v>
      </c>
      <c r="M47" s="9" t="str">
        <f t="shared" ref="M47:U47" si="25">if($L47=TRUE,C47,"")</f>
        <v/>
      </c>
      <c r="N47" s="9" t="str">
        <f t="shared" si="25"/>
        <v/>
      </c>
      <c r="O47" s="9" t="str">
        <f t="shared" si="25"/>
        <v/>
      </c>
      <c r="P47" s="9" t="str">
        <f t="shared" si="25"/>
        <v/>
      </c>
      <c r="Q47" s="9" t="str">
        <f t="shared" si="25"/>
        <v/>
      </c>
      <c r="R47" s="9" t="str">
        <f t="shared" si="25"/>
        <v/>
      </c>
      <c r="S47" s="9" t="str">
        <f t="shared" si="25"/>
        <v/>
      </c>
      <c r="T47" s="9" t="str">
        <f t="shared" si="25"/>
        <v/>
      </c>
      <c r="U47" s="11" t="str">
        <f t="shared" si="25"/>
        <v/>
      </c>
    </row>
    <row r="48">
      <c r="A48" s="66" t="s">
        <v>47</v>
      </c>
      <c r="B48" s="96" t="s">
        <v>48</v>
      </c>
      <c r="C48" s="35">
        <f t="shared" si="4"/>
        <v>4</v>
      </c>
      <c r="D48" s="9" t="str">
        <f t="shared" ref="D48:I48" si="26">if($C16&gt;$C$35,D16,"")</f>
        <v>2.OA.A.1</v>
      </c>
      <c r="E48" s="114" t="str">
        <f t="shared" si="26"/>
        <v>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v>
      </c>
      <c r="F48" s="115" t="b">
        <f t="shared" si="26"/>
        <v>1</v>
      </c>
      <c r="G48" s="115" t="b">
        <f t="shared" si="26"/>
        <v>1</v>
      </c>
      <c r="H48" s="115" t="b">
        <f t="shared" si="26"/>
        <v>1</v>
      </c>
      <c r="I48" s="115" t="b">
        <f t="shared" si="26"/>
        <v>1</v>
      </c>
      <c r="J48" s="9"/>
      <c r="K48" s="114" t="str">
        <f t="shared" si="6"/>
        <v>R- an ongoing standard
E- enduring standard all throughout second grade bc different word problems are introduced
A- yes on istation and in upper grades ACT
L- word problems are in reading, and in science- it's a problem solving skill that can be used in all subjects</v>
      </c>
      <c r="L48" s="116" t="b">
        <v>0</v>
      </c>
      <c r="M48" s="9" t="str">
        <f t="shared" ref="M48:U48" si="27">if($L48=TRUE,C48,"")</f>
        <v/>
      </c>
      <c r="N48" s="9" t="str">
        <f t="shared" si="27"/>
        <v/>
      </c>
      <c r="O48" s="9" t="str">
        <f t="shared" si="27"/>
        <v/>
      </c>
      <c r="P48" s="9" t="str">
        <f t="shared" si="27"/>
        <v/>
      </c>
      <c r="Q48" s="9" t="str">
        <f t="shared" si="27"/>
        <v/>
      </c>
      <c r="R48" s="9" t="str">
        <f t="shared" si="27"/>
        <v/>
      </c>
      <c r="S48" s="9" t="str">
        <f t="shared" si="27"/>
        <v/>
      </c>
      <c r="T48" s="9" t="str">
        <f t="shared" si="27"/>
        <v/>
      </c>
      <c r="U48" s="11" t="str">
        <f t="shared" si="27"/>
        <v/>
      </c>
    </row>
    <row r="49">
      <c r="A49" s="47"/>
      <c r="B49" s="98" t="s">
        <v>64</v>
      </c>
      <c r="C49" s="35">
        <f t="shared" si="4"/>
        <v>3</v>
      </c>
      <c r="D49" s="9" t="str">
        <f t="shared" ref="D49:I49" si="28">if($C17&gt;$C$35,D17,"")</f>
        <v>2.OA.B.2</v>
      </c>
      <c r="E49" s="114" t="str">
        <f t="shared" si="28"/>
        <v>Fluently add and subtract within 20 using mental strategies. By end of Grade 2, know from memory all sums of two one-digit numbers.</v>
      </c>
      <c r="F49" s="115" t="b">
        <f t="shared" si="28"/>
        <v>1</v>
      </c>
      <c r="G49" s="115" t="b">
        <f t="shared" si="28"/>
        <v>1</v>
      </c>
      <c r="H49" s="115" t="b">
        <f t="shared" si="28"/>
        <v>1</v>
      </c>
      <c r="I49" s="115" t="b">
        <f t="shared" si="28"/>
        <v>0</v>
      </c>
      <c r="J49" s="9"/>
      <c r="K49" s="114" t="str">
        <f t="shared" si="6"/>
        <v>R- fact fluency is an ongoing standard throughout grade levels
E- enduring standard throughout every quarter
A- a skill used on assessments</v>
      </c>
      <c r="L49" s="122" t="b">
        <v>0</v>
      </c>
      <c r="M49" s="9" t="str">
        <f t="shared" ref="M49:U49" si="29">if($L49=TRUE,C49,"")</f>
        <v/>
      </c>
      <c r="N49" s="9" t="str">
        <f t="shared" si="29"/>
        <v/>
      </c>
      <c r="O49" s="9" t="str">
        <f t="shared" si="29"/>
        <v/>
      </c>
      <c r="P49" s="9" t="str">
        <f t="shared" si="29"/>
        <v/>
      </c>
      <c r="Q49" s="9" t="str">
        <f t="shared" si="29"/>
        <v/>
      </c>
      <c r="R49" s="9" t="str">
        <f t="shared" si="29"/>
        <v/>
      </c>
      <c r="S49" s="9" t="str">
        <f t="shared" si="29"/>
        <v/>
      </c>
      <c r="T49" s="9" t="str">
        <f t="shared" si="29"/>
        <v/>
      </c>
      <c r="U49" s="11" t="str">
        <f t="shared" si="29"/>
        <v/>
      </c>
    </row>
    <row r="50">
      <c r="A50" s="47"/>
      <c r="B50" s="73" t="s">
        <v>183</v>
      </c>
      <c r="C50" s="42">
        <f t="shared" si="4"/>
        <v>0</v>
      </c>
      <c r="D50" s="9" t="str">
        <f t="shared" ref="D50:I50" si="30">if($C18&gt;$C$35,D18,"")</f>
        <v/>
      </c>
      <c r="E50" s="114" t="str">
        <f t="shared" si="30"/>
        <v/>
      </c>
      <c r="F50" s="115" t="str">
        <f t="shared" si="30"/>
        <v/>
      </c>
      <c r="G50" s="115" t="str">
        <f t="shared" si="30"/>
        <v/>
      </c>
      <c r="H50" s="115" t="str">
        <f t="shared" si="30"/>
        <v/>
      </c>
      <c r="I50" s="115" t="str">
        <f t="shared" si="30"/>
        <v/>
      </c>
      <c r="J50" s="9"/>
      <c r="K50" s="114" t="str">
        <f t="shared" si="6"/>
        <v/>
      </c>
      <c r="L50" s="116" t="b">
        <v>1</v>
      </c>
      <c r="M50" s="9">
        <f t="shared" ref="M50:U50" si="31">if($L50=TRUE,C50,"")</f>
        <v>0</v>
      </c>
      <c r="N50" s="9" t="str">
        <f t="shared" si="31"/>
        <v/>
      </c>
      <c r="O50" s="9" t="str">
        <f t="shared" si="31"/>
        <v/>
      </c>
      <c r="P50" s="9" t="str">
        <f t="shared" si="31"/>
        <v/>
      </c>
      <c r="Q50" s="9" t="str">
        <f t="shared" si="31"/>
        <v/>
      </c>
      <c r="R50" s="9" t="str">
        <f t="shared" si="31"/>
        <v/>
      </c>
      <c r="S50" s="9" t="str">
        <f t="shared" si="31"/>
        <v/>
      </c>
      <c r="T50" s="9" t="str">
        <f t="shared" si="31"/>
        <v/>
      </c>
      <c r="U50" s="11" t="str">
        <f t="shared" si="31"/>
        <v/>
      </c>
    </row>
    <row r="51">
      <c r="A51" s="50"/>
      <c r="B51" s="50"/>
      <c r="C51" s="35">
        <f t="shared" si="4"/>
        <v>0</v>
      </c>
      <c r="D51" s="9" t="str">
        <f t="shared" ref="D51:I51" si="32">if($C19&gt;$C$35,D19,"")</f>
        <v/>
      </c>
      <c r="E51" s="114" t="str">
        <f t="shared" si="32"/>
        <v/>
      </c>
      <c r="F51" s="115" t="str">
        <f t="shared" si="32"/>
        <v/>
      </c>
      <c r="G51" s="115" t="str">
        <f t="shared" si="32"/>
        <v/>
      </c>
      <c r="H51" s="115" t="str">
        <f t="shared" si="32"/>
        <v/>
      </c>
      <c r="I51" s="115" t="str">
        <f t="shared" si="32"/>
        <v/>
      </c>
      <c r="J51" s="9"/>
      <c r="K51" s="114" t="str">
        <f t="shared" si="6"/>
        <v/>
      </c>
      <c r="L51" s="116" t="b">
        <v>1</v>
      </c>
      <c r="M51" s="9">
        <f t="shared" ref="M51:U51" si="33">if($L51=TRUE,C51,"")</f>
        <v>0</v>
      </c>
      <c r="N51" s="9" t="str">
        <f t="shared" si="33"/>
        <v/>
      </c>
      <c r="O51" s="9" t="str">
        <f t="shared" si="33"/>
        <v/>
      </c>
      <c r="P51" s="9" t="str">
        <f t="shared" si="33"/>
        <v/>
      </c>
      <c r="Q51" s="9" t="str">
        <f t="shared" si="33"/>
        <v/>
      </c>
      <c r="R51" s="9" t="str">
        <f t="shared" si="33"/>
        <v/>
      </c>
      <c r="S51" s="9" t="str">
        <f t="shared" si="33"/>
        <v/>
      </c>
      <c r="T51" s="9" t="str">
        <f t="shared" si="33"/>
        <v/>
      </c>
      <c r="U51" s="11" t="str">
        <f t="shared" si="33"/>
        <v/>
      </c>
    </row>
    <row r="52">
      <c r="A52" s="85" t="s">
        <v>90</v>
      </c>
      <c r="B52" s="84" t="s">
        <v>95</v>
      </c>
      <c r="C52" s="42">
        <f t="shared" si="4"/>
        <v>0</v>
      </c>
      <c r="D52" s="9" t="str">
        <f t="shared" ref="D52:I52" si="34">if($C20&gt;$C$35,D20,"")</f>
        <v/>
      </c>
      <c r="E52" s="114" t="str">
        <f t="shared" si="34"/>
        <v/>
      </c>
      <c r="F52" s="115" t="str">
        <f t="shared" si="34"/>
        <v/>
      </c>
      <c r="G52" s="115" t="str">
        <f t="shared" si="34"/>
        <v/>
      </c>
      <c r="H52" s="115" t="str">
        <f t="shared" si="34"/>
        <v/>
      </c>
      <c r="I52" s="115" t="str">
        <f t="shared" si="34"/>
        <v/>
      </c>
      <c r="J52" s="9"/>
      <c r="K52" s="114" t="str">
        <f t="shared" si="6"/>
        <v/>
      </c>
      <c r="L52" s="122" t="b">
        <v>0</v>
      </c>
      <c r="M52" s="9" t="str">
        <f t="shared" ref="M52:U52" si="35">if($L52=TRUE,C52,"")</f>
        <v/>
      </c>
      <c r="N52" s="9" t="str">
        <f t="shared" si="35"/>
        <v/>
      </c>
      <c r="O52" s="9" t="str">
        <f t="shared" si="35"/>
        <v/>
      </c>
      <c r="P52" s="9" t="str">
        <f t="shared" si="35"/>
        <v/>
      </c>
      <c r="Q52" s="9" t="str">
        <f t="shared" si="35"/>
        <v/>
      </c>
      <c r="R52" s="9" t="str">
        <f t="shared" si="35"/>
        <v/>
      </c>
      <c r="S52" s="9" t="str">
        <f t="shared" si="35"/>
        <v/>
      </c>
      <c r="T52" s="9" t="str">
        <f t="shared" si="35"/>
        <v/>
      </c>
      <c r="U52" s="11" t="str">
        <f t="shared" si="35"/>
        <v/>
      </c>
    </row>
    <row r="53">
      <c r="A53" s="47"/>
      <c r="B53" s="47"/>
      <c r="C53" s="42">
        <f t="shared" si="4"/>
        <v>0</v>
      </c>
      <c r="D53" s="9" t="str">
        <f t="shared" ref="D53:I53" si="36">if($C21&gt;$C$35,D21,"")</f>
        <v/>
      </c>
      <c r="E53" s="114" t="str">
        <f t="shared" si="36"/>
        <v/>
      </c>
      <c r="F53" s="115" t="str">
        <f t="shared" si="36"/>
        <v/>
      </c>
      <c r="G53" s="115" t="str">
        <f t="shared" si="36"/>
        <v/>
      </c>
      <c r="H53" s="115" t="str">
        <f t="shared" si="36"/>
        <v/>
      </c>
      <c r="I53" s="115" t="str">
        <f t="shared" si="36"/>
        <v/>
      </c>
      <c r="J53" s="9"/>
      <c r="K53" s="114" t="str">
        <f t="shared" si="6"/>
        <v/>
      </c>
      <c r="L53" s="116" t="b">
        <v>0</v>
      </c>
      <c r="M53" s="9" t="str">
        <f t="shared" ref="M53:U53" si="37">if($L53=TRUE,C53,"")</f>
        <v/>
      </c>
      <c r="N53" s="9" t="str">
        <f t="shared" si="37"/>
        <v/>
      </c>
      <c r="O53" s="9" t="str">
        <f t="shared" si="37"/>
        <v/>
      </c>
      <c r="P53" s="9" t="str">
        <f t="shared" si="37"/>
        <v/>
      </c>
      <c r="Q53" s="9" t="str">
        <f t="shared" si="37"/>
        <v/>
      </c>
      <c r="R53" s="9" t="str">
        <f t="shared" si="37"/>
        <v/>
      </c>
      <c r="S53" s="9" t="str">
        <f t="shared" si="37"/>
        <v/>
      </c>
      <c r="T53" s="9" t="str">
        <f t="shared" si="37"/>
        <v/>
      </c>
      <c r="U53" s="11" t="str">
        <f t="shared" si="37"/>
        <v/>
      </c>
    </row>
    <row r="54" ht="18.75" customHeight="1">
      <c r="A54" s="50"/>
      <c r="B54" s="50"/>
      <c r="C54" s="35">
        <f t="shared" si="4"/>
        <v>4</v>
      </c>
      <c r="D54" s="9" t="str">
        <f t="shared" ref="D54:I54" si="38">if($C22&gt;$C$35,D22,"")</f>
        <v>2.G.A.3</v>
      </c>
      <c r="E54" s="114" t="str">
        <f t="shared" si="38"/>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v>
      </c>
      <c r="F54" s="115" t="b">
        <f t="shared" si="38"/>
        <v>1</v>
      </c>
      <c r="G54" s="115" t="b">
        <f t="shared" si="38"/>
        <v>1</v>
      </c>
      <c r="H54" s="115" t="b">
        <f t="shared" si="38"/>
        <v>1</v>
      </c>
      <c r="I54" s="115" t="b">
        <f t="shared" si="38"/>
        <v>1</v>
      </c>
      <c r="J54" s="9"/>
      <c r="K54" s="114" t="str">
        <f t="shared" si="6"/>
        <v>R- 3rd grade teaches partioning
E- yes because this standard lays the foundation for fractions
A- on istation
L- used in fractions</v>
      </c>
      <c r="L54" s="122" t="b">
        <v>0</v>
      </c>
      <c r="M54" s="9" t="str">
        <f t="shared" ref="M54:U54" si="39">if($L54=TRUE,C54,"")</f>
        <v/>
      </c>
      <c r="N54" s="9" t="str">
        <f t="shared" si="39"/>
        <v/>
      </c>
      <c r="O54" s="9" t="str">
        <f t="shared" si="39"/>
        <v/>
      </c>
      <c r="P54" s="9" t="str">
        <f t="shared" si="39"/>
        <v/>
      </c>
      <c r="Q54" s="9" t="str">
        <f t="shared" si="39"/>
        <v/>
      </c>
      <c r="R54" s="9" t="str">
        <f t="shared" si="39"/>
        <v/>
      </c>
      <c r="S54" s="9" t="str">
        <f t="shared" si="39"/>
        <v/>
      </c>
      <c r="T54" s="9" t="str">
        <f t="shared" si="39"/>
        <v/>
      </c>
      <c r="U54" s="11" t="str">
        <f t="shared" si="39"/>
        <v/>
      </c>
    </row>
    <row r="55">
      <c r="A55" s="94" t="s">
        <v>124</v>
      </c>
      <c r="B55" s="110" t="s">
        <v>217</v>
      </c>
      <c r="C55" s="42">
        <f t="shared" si="4"/>
        <v>4</v>
      </c>
      <c r="D55" s="9" t="str">
        <f t="shared" ref="D55:I55" si="40">if($C23&gt;$C$35,D23,"")</f>
        <v>2.MD.A.1</v>
      </c>
      <c r="E55" s="114" t="str">
        <f t="shared" si="40"/>
        <v>Measure the length of an object by selecting and using appropriate tools such as rulers, yardsticks, meter sticks, and measuring tapes.</v>
      </c>
      <c r="F55" s="115" t="b">
        <f t="shared" si="40"/>
        <v>1</v>
      </c>
      <c r="G55" s="115" t="b">
        <f t="shared" si="40"/>
        <v>1</v>
      </c>
      <c r="H55" s="115" t="b">
        <f t="shared" si="40"/>
        <v>1</v>
      </c>
      <c r="I55" s="115" t="b">
        <f t="shared" si="40"/>
        <v>1</v>
      </c>
      <c r="J55" s="9"/>
      <c r="K55" s="114" t="str">
        <f t="shared" si="6"/>
        <v>R- 3rd grade uses and incorporates w area 
E- life skill
A- on istation and ACT Aspire
L- can be used in science </v>
      </c>
      <c r="L55" s="122" t="b">
        <v>0</v>
      </c>
      <c r="M55" s="9" t="str">
        <f t="shared" ref="M55:U55" si="41">if($L55=TRUE,C55,"")</f>
        <v/>
      </c>
      <c r="N55" s="9" t="str">
        <f t="shared" si="41"/>
        <v/>
      </c>
      <c r="O55" s="9" t="str">
        <f t="shared" si="41"/>
        <v/>
      </c>
      <c r="P55" s="9" t="str">
        <f t="shared" si="41"/>
        <v/>
      </c>
      <c r="Q55" s="9" t="str">
        <f t="shared" si="41"/>
        <v/>
      </c>
      <c r="R55" s="9" t="str">
        <f t="shared" si="41"/>
        <v/>
      </c>
      <c r="S55" s="9" t="str">
        <f t="shared" si="41"/>
        <v/>
      </c>
      <c r="T55" s="9" t="str">
        <f t="shared" si="41"/>
        <v/>
      </c>
      <c r="U55" s="11" t="str">
        <f t="shared" si="41"/>
        <v/>
      </c>
    </row>
    <row r="56">
      <c r="A56" s="47"/>
      <c r="B56" s="47"/>
      <c r="C56" s="42">
        <f t="shared" si="4"/>
        <v>0</v>
      </c>
      <c r="D56" s="9" t="str">
        <f t="shared" ref="D56:I56" si="42">if($C24&gt;$C$35,D24,"")</f>
        <v/>
      </c>
      <c r="E56" s="114" t="str">
        <f t="shared" si="42"/>
        <v/>
      </c>
      <c r="F56" s="115" t="str">
        <f t="shared" si="42"/>
        <v/>
      </c>
      <c r="G56" s="115" t="str">
        <f t="shared" si="42"/>
        <v/>
      </c>
      <c r="H56" s="115" t="str">
        <f t="shared" si="42"/>
        <v/>
      </c>
      <c r="I56" s="115" t="str">
        <f t="shared" si="42"/>
        <v/>
      </c>
      <c r="J56" s="9"/>
      <c r="K56" s="114" t="str">
        <f t="shared" si="6"/>
        <v/>
      </c>
      <c r="L56" s="116" t="b">
        <v>1</v>
      </c>
      <c r="M56" s="9">
        <f t="shared" ref="M56:U56" si="43">if($L56=TRUE,C56,"")</f>
        <v>0</v>
      </c>
      <c r="N56" s="9" t="str">
        <f t="shared" si="43"/>
        <v/>
      </c>
      <c r="O56" s="9" t="str">
        <f t="shared" si="43"/>
        <v/>
      </c>
      <c r="P56" s="9" t="str">
        <f t="shared" si="43"/>
        <v/>
      </c>
      <c r="Q56" s="9" t="str">
        <f t="shared" si="43"/>
        <v/>
      </c>
      <c r="R56" s="9" t="str">
        <f t="shared" si="43"/>
        <v/>
      </c>
      <c r="S56" s="9" t="str">
        <f t="shared" si="43"/>
        <v/>
      </c>
      <c r="T56" s="9" t="str">
        <f t="shared" si="43"/>
        <v/>
      </c>
      <c r="U56" s="11" t="str">
        <f t="shared" si="43"/>
        <v/>
      </c>
    </row>
    <row r="57">
      <c r="A57" s="47"/>
      <c r="B57" s="47"/>
      <c r="C57" s="42">
        <f t="shared" si="4"/>
        <v>0</v>
      </c>
      <c r="D57" s="9" t="str">
        <f t="shared" ref="D57:I57" si="44">if($C25&gt;$C$35,D25,"")</f>
        <v/>
      </c>
      <c r="E57" s="114" t="str">
        <f t="shared" si="44"/>
        <v/>
      </c>
      <c r="F57" s="115" t="str">
        <f t="shared" si="44"/>
        <v/>
      </c>
      <c r="G57" s="115" t="str">
        <f t="shared" si="44"/>
        <v/>
      </c>
      <c r="H57" s="115" t="str">
        <f t="shared" si="44"/>
        <v/>
      </c>
      <c r="I57" s="115" t="str">
        <f t="shared" si="44"/>
        <v/>
      </c>
      <c r="J57" s="9"/>
      <c r="K57" s="114" t="str">
        <f t="shared" si="6"/>
        <v/>
      </c>
      <c r="L57" s="116" t="b">
        <v>1</v>
      </c>
      <c r="M57" s="9">
        <f t="shared" ref="M57:U57" si="45">if($L57=TRUE,C57,"")</f>
        <v>0</v>
      </c>
      <c r="N57" s="9" t="str">
        <f t="shared" si="45"/>
        <v/>
      </c>
      <c r="O57" s="9" t="str">
        <f t="shared" si="45"/>
        <v/>
      </c>
      <c r="P57" s="9" t="str">
        <f t="shared" si="45"/>
        <v/>
      </c>
      <c r="Q57" s="9" t="str">
        <f t="shared" si="45"/>
        <v/>
      </c>
      <c r="R57" s="9" t="str">
        <f t="shared" si="45"/>
        <v/>
      </c>
      <c r="S57" s="9" t="str">
        <f t="shared" si="45"/>
        <v/>
      </c>
      <c r="T57" s="9" t="str">
        <f t="shared" si="45"/>
        <v/>
      </c>
      <c r="U57" s="11" t="str">
        <f t="shared" si="45"/>
        <v/>
      </c>
    </row>
    <row r="58">
      <c r="A58" s="47"/>
      <c r="B58" s="50"/>
      <c r="C58" s="35">
        <f t="shared" si="4"/>
        <v>0</v>
      </c>
      <c r="D58" s="9" t="str">
        <f t="shared" ref="D58:I58" si="46">if($C26&gt;$C$35,D26,"")</f>
        <v/>
      </c>
      <c r="E58" s="114" t="str">
        <f t="shared" si="46"/>
        <v/>
      </c>
      <c r="F58" s="115" t="str">
        <f t="shared" si="46"/>
        <v/>
      </c>
      <c r="G58" s="115" t="str">
        <f t="shared" si="46"/>
        <v/>
      </c>
      <c r="H58" s="115" t="str">
        <f t="shared" si="46"/>
        <v/>
      </c>
      <c r="I58" s="115" t="str">
        <f t="shared" si="46"/>
        <v/>
      </c>
      <c r="J58" s="9"/>
      <c r="K58" s="114" t="str">
        <f t="shared" si="6"/>
        <v/>
      </c>
      <c r="L58" s="122" t="b">
        <v>0</v>
      </c>
      <c r="M58" s="9" t="str">
        <f t="shared" ref="M58:U58" si="47">if($L58=TRUE,C58,"")</f>
        <v/>
      </c>
      <c r="N58" s="9" t="str">
        <f t="shared" si="47"/>
        <v/>
      </c>
      <c r="O58" s="9" t="str">
        <f t="shared" si="47"/>
        <v/>
      </c>
      <c r="P58" s="9" t="str">
        <f t="shared" si="47"/>
        <v/>
      </c>
      <c r="Q58" s="9" t="str">
        <f t="shared" si="47"/>
        <v/>
      </c>
      <c r="R58" s="9" t="str">
        <f t="shared" si="47"/>
        <v/>
      </c>
      <c r="S58" s="9" t="str">
        <f t="shared" si="47"/>
        <v/>
      </c>
      <c r="T58" s="9" t="str">
        <f t="shared" si="47"/>
        <v/>
      </c>
      <c r="U58" s="11" t="str">
        <f t="shared" si="47"/>
        <v/>
      </c>
    </row>
    <row r="59">
      <c r="A59" s="47"/>
      <c r="B59" s="91" t="s">
        <v>244</v>
      </c>
      <c r="C59" s="42">
        <f t="shared" si="4"/>
        <v>0</v>
      </c>
      <c r="D59" s="9" t="str">
        <f t="shared" ref="D59:I59" si="48">if($C27&gt;$C$35,D27,"")</f>
        <v/>
      </c>
      <c r="E59" s="114" t="str">
        <f t="shared" si="48"/>
        <v/>
      </c>
      <c r="F59" s="115" t="str">
        <f t="shared" si="48"/>
        <v/>
      </c>
      <c r="G59" s="115" t="str">
        <f t="shared" si="48"/>
        <v/>
      </c>
      <c r="H59" s="115" t="str">
        <f t="shared" si="48"/>
        <v/>
      </c>
      <c r="I59" s="115" t="str">
        <f t="shared" si="48"/>
        <v/>
      </c>
      <c r="J59" s="9"/>
      <c r="K59" s="114" t="str">
        <f t="shared" si="6"/>
        <v/>
      </c>
      <c r="L59" s="122" t="b">
        <v>0</v>
      </c>
      <c r="M59" s="9" t="str">
        <f t="shared" ref="M59:U59" si="49">if($L59=TRUE,C59,"")</f>
        <v/>
      </c>
      <c r="N59" s="9" t="str">
        <f t="shared" si="49"/>
        <v/>
      </c>
      <c r="O59" s="9" t="str">
        <f t="shared" si="49"/>
        <v/>
      </c>
      <c r="P59" s="9" t="str">
        <f t="shared" si="49"/>
        <v/>
      </c>
      <c r="Q59" s="9" t="str">
        <f t="shared" si="49"/>
        <v/>
      </c>
      <c r="R59" s="9" t="str">
        <f t="shared" si="49"/>
        <v/>
      </c>
      <c r="S59" s="9" t="str">
        <f t="shared" si="49"/>
        <v/>
      </c>
      <c r="T59" s="9" t="str">
        <f t="shared" si="49"/>
        <v/>
      </c>
      <c r="U59" s="11" t="str">
        <f t="shared" si="49"/>
        <v/>
      </c>
    </row>
    <row r="60">
      <c r="A60" s="47"/>
      <c r="B60" s="50"/>
      <c r="C60" s="35">
        <f t="shared" si="4"/>
        <v>3</v>
      </c>
      <c r="D60" s="9" t="str">
        <f t="shared" ref="D60:I60" si="50">if($C28&gt;$C$35,D28,"")</f>
        <v>2.MD.B.6</v>
      </c>
      <c r="E60" s="114" t="str">
        <f t="shared" si="50"/>
        <v>Represent whole numbers as lengths from 0 on a number line diagram with equally spaced points corresponding to the numbers 0, 1, 2, ..., and represent whole-number sums and differences within 100 on a number line diagram.</v>
      </c>
      <c r="F60" s="115" t="b">
        <f t="shared" si="50"/>
        <v>1</v>
      </c>
      <c r="G60" s="115" t="b">
        <f t="shared" si="50"/>
        <v>1</v>
      </c>
      <c r="H60" s="115" t="b">
        <f t="shared" si="50"/>
        <v>0</v>
      </c>
      <c r="I60" s="115" t="b">
        <f t="shared" si="50"/>
        <v>1</v>
      </c>
      <c r="J60" s="9"/>
      <c r="K60" s="114" t="str">
        <f t="shared" si="6"/>
        <v>R- # lines are used in third grade and throughout 
E- skill used for solving problems/ equally spaced goes with partitioning and skip counting
L-Science 
</v>
      </c>
      <c r="L60" s="116" t="b">
        <v>1</v>
      </c>
      <c r="M60" s="9">
        <f t="shared" ref="M60:U60" si="51">if($L60=TRUE,C60,"")</f>
        <v>3</v>
      </c>
      <c r="N60" s="9" t="str">
        <f t="shared" si="51"/>
        <v>2.MD.B.6</v>
      </c>
      <c r="O60" s="9" t="str">
        <f t="shared" si="51"/>
        <v>Represent whole numbers as lengths from 0 on a number line diagram with equally spaced points corresponding to the numbers 0, 1, 2, ..., and represent whole-number sums and differences within 100 on a number line diagram.</v>
      </c>
      <c r="P60" s="9" t="b">
        <f t="shared" si="51"/>
        <v>1</v>
      </c>
      <c r="Q60" s="9" t="b">
        <f t="shared" si="51"/>
        <v>1</v>
      </c>
      <c r="R60" s="9" t="b">
        <f t="shared" si="51"/>
        <v>0</v>
      </c>
      <c r="S60" s="9" t="b">
        <f t="shared" si="51"/>
        <v>1</v>
      </c>
      <c r="T60" s="9" t="str">
        <f t="shared" si="51"/>
        <v/>
      </c>
      <c r="U60" s="11" t="str">
        <f t="shared" si="51"/>
        <v>R- # lines are used in third grade and throughout 
E- skill used for solving problems/ equally spaced goes with partitioning and skip counting
L-Science 
</v>
      </c>
    </row>
  </sheetData>
  <mergeCells count="30">
    <mergeCell ref="A2:B2"/>
    <mergeCell ref="C2:K2"/>
    <mergeCell ref="A3:K3"/>
    <mergeCell ref="A4:B4"/>
    <mergeCell ref="A5:A15"/>
    <mergeCell ref="B6:B10"/>
    <mergeCell ref="B11:B15"/>
    <mergeCell ref="B29:B30"/>
    <mergeCell ref="B31:B32"/>
    <mergeCell ref="F34:G34"/>
    <mergeCell ref="A16:A19"/>
    <mergeCell ref="B18:B19"/>
    <mergeCell ref="A20:A22"/>
    <mergeCell ref="B20:B22"/>
    <mergeCell ref="A23:A32"/>
    <mergeCell ref="B23:B26"/>
    <mergeCell ref="B27:B28"/>
    <mergeCell ref="A48:A51"/>
    <mergeCell ref="A52:A54"/>
    <mergeCell ref="A55:A60"/>
    <mergeCell ref="B52:B54"/>
    <mergeCell ref="B55:B58"/>
    <mergeCell ref="B59:B60"/>
    <mergeCell ref="A34:B34"/>
    <mergeCell ref="A35:B35"/>
    <mergeCell ref="A36:B36"/>
    <mergeCell ref="A37:A47"/>
    <mergeCell ref="B38:B42"/>
    <mergeCell ref="B43:B47"/>
    <mergeCell ref="B50:B51"/>
  </mergeCells>
  <conditionalFormatting sqref="D34">
    <cfRule type="expression" dxfId="0" priority="1">
      <formula>D34&lt;=K34</formula>
    </cfRule>
  </conditionalFormatting>
  <conditionalFormatting sqref="D34">
    <cfRule type="expression" dxfId="1" priority="2">
      <formula>D34&gt;K34</formula>
    </cfRule>
  </conditionalFormatting>
  <conditionalFormatting sqref="L37">
    <cfRule type="expression" dxfId="7" priority="3">
      <formula>not</formula>
    </cfRule>
  </conditionalFormatting>
  <conditionalFormatting sqref="F37:I60">
    <cfRule type="cellIs" dxfId="8" priority="4" operator="equal">
      <formula>"TRUE"</formula>
    </cfRule>
  </conditionalFormatting>
  <conditionalFormatting sqref="F37:I60">
    <cfRule type="cellIs" dxfId="9" priority="5" operator="equal">
      <formula>"FALSE"</formula>
    </cfRule>
  </conditionalFormatting>
  <conditionalFormatting sqref="C5:C32 C37:C60">
    <cfRule type="cellIs" dxfId="2" priority="6" operator="equal">
      <formula>0</formula>
    </cfRule>
  </conditionalFormatting>
  <conditionalFormatting sqref="C5:C32 C37:C60">
    <cfRule type="cellIs" dxfId="3" priority="7" operator="equal">
      <formula>1</formula>
    </cfRule>
  </conditionalFormatting>
  <conditionalFormatting sqref="C5:C32 C37:C60">
    <cfRule type="cellIs" dxfId="4" priority="8" operator="equal">
      <formula>2</formula>
    </cfRule>
  </conditionalFormatting>
  <conditionalFormatting sqref="C5:C32 C37:C60">
    <cfRule type="cellIs" dxfId="5" priority="9" operator="equal">
      <formula>3</formula>
    </cfRule>
  </conditionalFormatting>
  <conditionalFormatting sqref="C5:C32 C37:C60">
    <cfRule type="cellIs" dxfId="6" priority="10" operator="equal">
      <formula>4</formula>
    </cfRule>
  </conditionalFormatting>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D7A8"/>
    <outlinePr summaryBelow="0" summaryRight="0"/>
  </sheetPr>
  <sheetViews>
    <sheetView workbookViewId="0">
      <pane ySplit="4.0" topLeftCell="A5" activePane="bottomLeft" state="frozen"/>
      <selection activeCell="B6" sqref="B6" pane="bottomLeft"/>
    </sheetView>
  </sheetViews>
  <sheetFormatPr customHeight="1" defaultColWidth="14.43" defaultRowHeight="15.75" outlineLevelCol="1" outlineLevelRow="1"/>
  <cols>
    <col customWidth="1" min="1" max="1" width="5.14"/>
    <col customWidth="1" min="2" max="2" width="15.86"/>
    <col customWidth="1" min="3" max="3" width="5.14"/>
    <col customWidth="1" min="4" max="4" width="10.86"/>
    <col customWidth="1" min="5" max="5" width="57.29"/>
    <col customWidth="1" min="6" max="9" width="3.0"/>
    <col customWidth="1" min="10" max="10" width="0.86"/>
    <col customWidth="1" min="11" max="11" width="43.0"/>
    <col collapsed="1" customWidth="1" min="12" max="12" width="8.71"/>
    <col hidden="1" min="13" max="21" width="14.43" outlineLevel="1"/>
  </cols>
  <sheetData>
    <row r="1" ht="4.5" customHeight="1" collapsed="1">
      <c r="A1" s="3"/>
      <c r="B1" s="7"/>
      <c r="C1" s="7"/>
      <c r="D1" s="7"/>
      <c r="E1" s="7"/>
      <c r="F1" s="7"/>
      <c r="G1" s="7"/>
      <c r="H1" s="7"/>
      <c r="I1" s="7"/>
      <c r="J1" s="7"/>
      <c r="K1" s="7"/>
      <c r="L1" s="9"/>
      <c r="M1" s="9"/>
      <c r="N1" s="9"/>
      <c r="O1" s="9"/>
      <c r="P1" s="9"/>
      <c r="Q1" s="9"/>
      <c r="R1" s="9"/>
      <c r="S1" s="9"/>
      <c r="T1" s="9"/>
      <c r="U1" s="9"/>
    </row>
    <row r="2" hidden="1" outlineLevel="1">
      <c r="A2" s="12" t="s">
        <v>4</v>
      </c>
      <c r="B2" s="13"/>
      <c r="C2" s="14" t="s">
        <v>5</v>
      </c>
      <c r="D2" s="13"/>
      <c r="E2" s="13"/>
      <c r="F2" s="13"/>
      <c r="G2" s="13"/>
      <c r="H2" s="13"/>
      <c r="I2" s="13"/>
      <c r="J2" s="13"/>
      <c r="K2" s="13"/>
      <c r="L2" s="9"/>
      <c r="M2" s="9"/>
      <c r="N2" s="9"/>
      <c r="O2" s="9"/>
      <c r="P2" s="9"/>
      <c r="Q2" s="9"/>
      <c r="R2" s="9"/>
      <c r="S2" s="9"/>
      <c r="T2" s="9"/>
      <c r="U2" s="9"/>
    </row>
    <row r="3">
      <c r="A3" s="25" t="s">
        <v>264</v>
      </c>
      <c r="B3" s="13"/>
      <c r="C3" s="13"/>
      <c r="D3" s="13"/>
      <c r="E3" s="13"/>
      <c r="F3" s="13"/>
      <c r="G3" s="13"/>
      <c r="H3" s="13"/>
      <c r="I3" s="13"/>
      <c r="J3" s="13"/>
      <c r="K3" s="16"/>
      <c r="L3" s="26"/>
      <c r="M3" s="26"/>
      <c r="N3" s="26"/>
      <c r="O3" s="26"/>
      <c r="P3" s="26"/>
      <c r="Q3" s="26"/>
      <c r="R3" s="26"/>
      <c r="S3" s="26"/>
      <c r="T3" s="26"/>
      <c r="U3" s="26"/>
    </row>
    <row r="4" outlineLevel="1">
      <c r="A4" s="28" t="s">
        <v>7</v>
      </c>
      <c r="B4" s="16"/>
      <c r="C4" s="29" t="s">
        <v>8</v>
      </c>
      <c r="D4" s="77" t="s">
        <v>9</v>
      </c>
      <c r="E4" s="31" t="s">
        <v>10</v>
      </c>
      <c r="F4" s="29" t="s">
        <v>12</v>
      </c>
      <c r="G4" s="29" t="s">
        <v>13</v>
      </c>
      <c r="H4" s="32" t="str">
        <f>HYPERLINK("https://www.gctsd.k12.ar.us/images/testing/aspire_summative_assessment_overview.pdf","A")</f>
        <v>A</v>
      </c>
      <c r="I4" s="29" t="s">
        <v>17</v>
      </c>
      <c r="J4" s="29"/>
      <c r="K4" s="29" t="s">
        <v>18</v>
      </c>
      <c r="L4" s="26"/>
      <c r="M4" s="26"/>
      <c r="N4" s="26"/>
      <c r="O4" s="26"/>
      <c r="P4" s="26"/>
      <c r="Q4" s="26"/>
      <c r="R4" s="26"/>
      <c r="S4" s="26"/>
      <c r="T4" s="26"/>
      <c r="U4" s="26"/>
    </row>
    <row r="5" outlineLevel="1">
      <c r="A5" s="79" t="s">
        <v>19</v>
      </c>
      <c r="B5" s="123" t="s">
        <v>265</v>
      </c>
      <c r="C5" s="42">
        <f t="shared" ref="C5:C44" si="1">countif(F5:I5,TRUE)</f>
        <v>1</v>
      </c>
      <c r="D5" s="26" t="s">
        <v>267</v>
      </c>
      <c r="E5" s="43" t="s">
        <v>268</v>
      </c>
      <c r="F5" s="44" t="b">
        <v>1</v>
      </c>
      <c r="G5" s="48" t="b">
        <v>0</v>
      </c>
      <c r="H5" s="44" t="b">
        <v>0</v>
      </c>
      <c r="I5" s="48" t="b">
        <v>0</v>
      </c>
      <c r="J5" s="45"/>
      <c r="K5" s="45"/>
      <c r="L5" s="26"/>
      <c r="M5" s="26"/>
      <c r="N5" s="26"/>
      <c r="O5" s="26"/>
      <c r="P5" s="26"/>
      <c r="Q5" s="26"/>
      <c r="R5" s="26"/>
      <c r="S5" s="26"/>
      <c r="T5" s="26"/>
      <c r="U5" s="26"/>
    </row>
    <row r="6" outlineLevel="1">
      <c r="A6" s="47"/>
      <c r="B6" s="47"/>
      <c r="C6" s="42">
        <f t="shared" si="1"/>
        <v>4</v>
      </c>
      <c r="D6" s="26" t="s">
        <v>269</v>
      </c>
      <c r="E6" s="43" t="s">
        <v>270</v>
      </c>
      <c r="F6" s="44" t="b">
        <v>1</v>
      </c>
      <c r="G6" s="44" t="b">
        <v>1</v>
      </c>
      <c r="H6" s="44" t="b">
        <v>1</v>
      </c>
      <c r="I6" s="44" t="b">
        <v>1</v>
      </c>
      <c r="J6" s="45"/>
      <c r="K6" s="45"/>
      <c r="L6" s="26"/>
      <c r="M6" s="26"/>
      <c r="N6" s="26"/>
      <c r="O6" s="26"/>
      <c r="P6" s="26"/>
      <c r="Q6" s="26"/>
      <c r="R6" s="26"/>
      <c r="S6" s="26"/>
      <c r="T6" s="26"/>
      <c r="U6" s="26"/>
    </row>
    <row r="7" outlineLevel="1">
      <c r="A7" s="47"/>
      <c r="B7" s="47"/>
      <c r="C7" s="35">
        <f t="shared" si="1"/>
        <v>4</v>
      </c>
      <c r="D7" s="36" t="s">
        <v>271</v>
      </c>
      <c r="E7" s="37" t="s">
        <v>272</v>
      </c>
      <c r="F7" s="38" t="b">
        <v>1</v>
      </c>
      <c r="G7" s="38" t="b">
        <v>1</v>
      </c>
      <c r="H7" s="38" t="b">
        <v>1</v>
      </c>
      <c r="I7" s="38" t="b">
        <v>1</v>
      </c>
      <c r="J7" s="39"/>
      <c r="K7" s="39"/>
      <c r="L7" s="26"/>
      <c r="M7" s="26"/>
      <c r="N7" s="26"/>
      <c r="O7" s="26"/>
      <c r="P7" s="26"/>
      <c r="Q7" s="26"/>
      <c r="R7" s="26"/>
      <c r="S7" s="26"/>
      <c r="T7" s="26"/>
      <c r="U7" s="26"/>
    </row>
    <row r="8" outlineLevel="1">
      <c r="A8" s="47"/>
      <c r="B8" s="47"/>
      <c r="C8" s="35">
        <f t="shared" si="1"/>
        <v>3</v>
      </c>
      <c r="D8" s="86" t="s">
        <v>274</v>
      </c>
      <c r="E8" s="131" t="s">
        <v>275</v>
      </c>
      <c r="F8" s="44" t="b">
        <v>1</v>
      </c>
      <c r="G8" s="44" t="b">
        <v>1</v>
      </c>
      <c r="H8" s="44" t="b">
        <v>0</v>
      </c>
      <c r="I8" s="44" t="b">
        <v>1</v>
      </c>
      <c r="J8" s="45"/>
      <c r="K8" s="45"/>
      <c r="L8" s="26"/>
      <c r="M8" s="26"/>
      <c r="N8" s="26"/>
      <c r="O8" s="26"/>
      <c r="P8" s="26"/>
      <c r="Q8" s="26"/>
      <c r="R8" s="26"/>
      <c r="S8" s="26"/>
      <c r="T8" s="26"/>
      <c r="U8" s="26"/>
    </row>
    <row r="9" outlineLevel="1">
      <c r="A9" s="47"/>
      <c r="B9" s="47"/>
      <c r="C9" s="35">
        <f t="shared" si="1"/>
        <v>4</v>
      </c>
      <c r="D9" s="86" t="s">
        <v>276</v>
      </c>
      <c r="E9" s="131" t="s">
        <v>277</v>
      </c>
      <c r="F9" s="44" t="b">
        <v>1</v>
      </c>
      <c r="G9" s="44" t="b">
        <v>1</v>
      </c>
      <c r="H9" s="44" t="b">
        <v>1</v>
      </c>
      <c r="I9" s="44" t="b">
        <v>1</v>
      </c>
      <c r="J9" s="45"/>
      <c r="K9" s="45"/>
      <c r="L9" s="26"/>
      <c r="M9" s="26"/>
      <c r="N9" s="26"/>
      <c r="O9" s="26"/>
      <c r="P9" s="26"/>
      <c r="Q9" s="26"/>
      <c r="R9" s="26"/>
      <c r="S9" s="26"/>
      <c r="T9" s="26"/>
      <c r="U9" s="26"/>
    </row>
    <row r="10" outlineLevel="1">
      <c r="A10" s="50"/>
      <c r="B10" s="50"/>
      <c r="C10" s="35">
        <f t="shared" si="1"/>
        <v>2</v>
      </c>
      <c r="D10" s="134" t="s">
        <v>279</v>
      </c>
      <c r="E10" s="135" t="s">
        <v>280</v>
      </c>
      <c r="F10" s="137" t="b">
        <v>1</v>
      </c>
      <c r="G10" s="137" t="b">
        <v>0</v>
      </c>
      <c r="H10" s="137" t="b">
        <v>1</v>
      </c>
      <c r="I10" s="137" t="b">
        <v>0</v>
      </c>
      <c r="J10" s="139"/>
      <c r="K10" s="139"/>
      <c r="L10" s="26"/>
      <c r="M10" s="26"/>
      <c r="N10" s="26"/>
      <c r="O10" s="26"/>
      <c r="P10" s="26"/>
      <c r="Q10" s="26"/>
      <c r="R10" s="26"/>
      <c r="S10" s="26"/>
      <c r="T10" s="26"/>
      <c r="U10" s="26"/>
    </row>
    <row r="11" outlineLevel="1">
      <c r="A11" s="66" t="s">
        <v>47</v>
      </c>
      <c r="B11" s="56" t="s">
        <v>288</v>
      </c>
      <c r="C11" s="42">
        <f t="shared" si="1"/>
        <v>4</v>
      </c>
      <c r="D11" s="26" t="s">
        <v>290</v>
      </c>
      <c r="E11" s="43" t="s">
        <v>291</v>
      </c>
      <c r="F11" s="44" t="b">
        <v>1</v>
      </c>
      <c r="G11" s="44" t="b">
        <v>1</v>
      </c>
      <c r="H11" s="44" t="b">
        <v>1</v>
      </c>
      <c r="I11" s="44" t="b">
        <v>1</v>
      </c>
      <c r="J11" s="45"/>
      <c r="K11" s="45"/>
      <c r="L11" s="26"/>
      <c r="M11" s="26"/>
      <c r="N11" s="26"/>
      <c r="O11" s="26"/>
      <c r="P11" s="26"/>
      <c r="Q11" s="26"/>
      <c r="R11" s="26"/>
      <c r="S11" s="26"/>
      <c r="T11" s="26"/>
      <c r="U11" s="26"/>
    </row>
    <row r="12" outlineLevel="1">
      <c r="A12" s="47"/>
      <c r="B12" s="47"/>
      <c r="C12" s="42">
        <f t="shared" si="1"/>
        <v>4</v>
      </c>
      <c r="D12" s="26" t="s">
        <v>293</v>
      </c>
      <c r="E12" s="43" t="s">
        <v>295</v>
      </c>
      <c r="F12" s="44" t="b">
        <v>1</v>
      </c>
      <c r="G12" s="44" t="b">
        <v>1</v>
      </c>
      <c r="H12" s="44" t="b">
        <v>1</v>
      </c>
      <c r="I12" s="44" t="b">
        <v>1</v>
      </c>
      <c r="J12" s="45"/>
      <c r="K12" s="45"/>
      <c r="L12" s="26"/>
      <c r="M12" s="26"/>
      <c r="N12" s="26"/>
      <c r="O12" s="26"/>
      <c r="P12" s="26"/>
      <c r="Q12" s="26"/>
      <c r="R12" s="26"/>
      <c r="S12" s="26"/>
      <c r="T12" s="26"/>
      <c r="U12" s="26"/>
    </row>
    <row r="13" outlineLevel="1">
      <c r="A13" s="47"/>
      <c r="B13" s="47"/>
      <c r="C13" s="42">
        <f t="shared" si="1"/>
        <v>4</v>
      </c>
      <c r="D13" s="26" t="s">
        <v>299</v>
      </c>
      <c r="E13" s="43" t="s">
        <v>300</v>
      </c>
      <c r="F13" s="44" t="b">
        <v>1</v>
      </c>
      <c r="G13" s="44" t="b">
        <v>1</v>
      </c>
      <c r="H13" s="44" t="b">
        <v>1</v>
      </c>
      <c r="I13" s="44" t="b">
        <v>1</v>
      </c>
      <c r="J13" s="45"/>
      <c r="K13" s="147" t="s">
        <v>301</v>
      </c>
      <c r="L13" s="26"/>
      <c r="M13" s="26"/>
      <c r="N13" s="26"/>
      <c r="O13" s="26"/>
      <c r="P13" s="26"/>
      <c r="Q13" s="26"/>
      <c r="R13" s="26"/>
      <c r="S13" s="26"/>
      <c r="T13" s="26"/>
      <c r="U13" s="26"/>
    </row>
    <row r="14" outlineLevel="1">
      <c r="A14" s="47"/>
      <c r="B14" s="50"/>
      <c r="C14" s="35">
        <f t="shared" si="1"/>
        <v>4</v>
      </c>
      <c r="D14" s="36" t="s">
        <v>306</v>
      </c>
      <c r="E14" s="37" t="s">
        <v>307</v>
      </c>
      <c r="F14" s="38" t="b">
        <v>1</v>
      </c>
      <c r="G14" s="38" t="b">
        <v>1</v>
      </c>
      <c r="H14" s="38" t="b">
        <v>1</v>
      </c>
      <c r="I14" s="38" t="b">
        <v>1</v>
      </c>
      <c r="J14" s="39"/>
      <c r="K14" s="39"/>
      <c r="L14" s="26"/>
      <c r="M14" s="26"/>
      <c r="N14" s="26"/>
      <c r="O14" s="26"/>
      <c r="P14" s="26"/>
      <c r="Q14" s="26"/>
      <c r="R14" s="26"/>
      <c r="S14" s="26"/>
      <c r="T14" s="26"/>
      <c r="U14" s="26"/>
    </row>
    <row r="15" outlineLevel="1">
      <c r="A15" s="47"/>
      <c r="B15" s="59" t="s">
        <v>310</v>
      </c>
      <c r="C15" s="42">
        <f t="shared" si="1"/>
        <v>4</v>
      </c>
      <c r="D15" s="26" t="s">
        <v>312</v>
      </c>
      <c r="E15" s="43" t="s">
        <v>313</v>
      </c>
      <c r="F15" s="44" t="b">
        <v>1</v>
      </c>
      <c r="G15" s="44" t="b">
        <v>1</v>
      </c>
      <c r="H15" s="44" t="b">
        <v>1</v>
      </c>
      <c r="I15" s="44" t="b">
        <v>1</v>
      </c>
      <c r="J15" s="45"/>
      <c r="K15" s="45"/>
      <c r="L15" s="26"/>
      <c r="M15" s="26"/>
      <c r="N15" s="26"/>
      <c r="O15" s="26"/>
      <c r="P15" s="26"/>
      <c r="Q15" s="26"/>
      <c r="R15" s="26"/>
      <c r="S15" s="26"/>
      <c r="T15" s="26"/>
      <c r="U15" s="26"/>
    </row>
    <row r="16" outlineLevel="1">
      <c r="A16" s="47"/>
      <c r="B16" s="50"/>
      <c r="C16" s="35">
        <f t="shared" si="1"/>
        <v>3</v>
      </c>
      <c r="D16" s="36" t="s">
        <v>319</v>
      </c>
      <c r="E16" s="37" t="s">
        <v>320</v>
      </c>
      <c r="F16" s="38" t="b">
        <v>1</v>
      </c>
      <c r="G16" s="53" t="b">
        <v>0</v>
      </c>
      <c r="H16" s="38" t="b">
        <v>1</v>
      </c>
      <c r="I16" s="38" t="b">
        <v>1</v>
      </c>
      <c r="J16" s="39"/>
      <c r="K16" s="39"/>
      <c r="L16" s="26"/>
      <c r="M16" s="26"/>
      <c r="N16" s="26"/>
      <c r="O16" s="26"/>
      <c r="P16" s="26"/>
      <c r="Q16" s="26"/>
      <c r="R16" s="26"/>
      <c r="S16" s="26"/>
      <c r="T16" s="26"/>
      <c r="U16" s="26"/>
    </row>
    <row r="17" outlineLevel="1">
      <c r="A17" s="47"/>
      <c r="B17" s="156" t="s">
        <v>324</v>
      </c>
      <c r="C17" s="35">
        <f t="shared" si="1"/>
        <v>4</v>
      </c>
      <c r="D17" s="36" t="s">
        <v>363</v>
      </c>
      <c r="E17" s="37" t="s">
        <v>364</v>
      </c>
      <c r="F17" s="38" t="b">
        <v>1</v>
      </c>
      <c r="G17" s="38" t="b">
        <v>1</v>
      </c>
      <c r="H17" s="38" t="b">
        <v>1</v>
      </c>
      <c r="I17" s="38" t="b">
        <v>1</v>
      </c>
      <c r="J17" s="39"/>
      <c r="K17" s="39"/>
      <c r="L17" s="26"/>
      <c r="M17" s="26"/>
      <c r="N17" s="26"/>
      <c r="O17" s="26"/>
      <c r="P17" s="26"/>
      <c r="Q17" s="26"/>
      <c r="R17" s="26"/>
      <c r="S17" s="26"/>
      <c r="T17" s="26"/>
      <c r="U17" s="26"/>
    </row>
    <row r="18" outlineLevel="1">
      <c r="A18" s="47"/>
      <c r="B18" s="159" t="s">
        <v>369</v>
      </c>
      <c r="C18" s="42">
        <f t="shared" si="1"/>
        <v>3</v>
      </c>
      <c r="D18" s="26" t="s">
        <v>374</v>
      </c>
      <c r="E18" s="43" t="s">
        <v>369</v>
      </c>
      <c r="F18" s="44" t="b">
        <v>1</v>
      </c>
      <c r="G18" s="44" t="b">
        <v>1</v>
      </c>
      <c r="H18" s="48" t="b">
        <v>0</v>
      </c>
      <c r="I18" s="44" t="b">
        <v>1</v>
      </c>
      <c r="J18" s="45"/>
      <c r="K18" s="147" t="s">
        <v>378</v>
      </c>
      <c r="L18" s="26"/>
      <c r="M18" s="26"/>
      <c r="N18" s="26"/>
      <c r="O18" s="26"/>
      <c r="P18" s="26"/>
      <c r="Q18" s="26"/>
      <c r="R18" s="26"/>
      <c r="S18" s="26"/>
      <c r="T18" s="26"/>
      <c r="U18" s="26"/>
    </row>
    <row r="19" outlineLevel="1">
      <c r="A19" s="50"/>
      <c r="B19" s="50"/>
      <c r="C19" s="35">
        <f t="shared" si="1"/>
        <v>3</v>
      </c>
      <c r="D19" s="36" t="s">
        <v>381</v>
      </c>
      <c r="E19" s="37" t="s">
        <v>382</v>
      </c>
      <c r="F19" s="38" t="b">
        <v>1</v>
      </c>
      <c r="G19" s="53" t="b">
        <v>0</v>
      </c>
      <c r="H19" s="38" t="b">
        <v>1</v>
      </c>
      <c r="I19" s="38" t="b">
        <v>1</v>
      </c>
      <c r="J19" s="39"/>
      <c r="K19" s="39"/>
      <c r="L19" s="26"/>
      <c r="M19" s="26"/>
      <c r="N19" s="26"/>
      <c r="O19" s="26"/>
      <c r="P19" s="26"/>
      <c r="Q19" s="26"/>
      <c r="R19" s="26"/>
      <c r="S19" s="26"/>
      <c r="T19" s="26"/>
      <c r="U19" s="26"/>
    </row>
    <row r="20" outlineLevel="1">
      <c r="A20" s="85" t="s">
        <v>90</v>
      </c>
      <c r="B20" s="84" t="s">
        <v>95</v>
      </c>
      <c r="C20" s="42">
        <f t="shared" si="1"/>
        <v>3</v>
      </c>
      <c r="D20" s="26" t="s">
        <v>392</v>
      </c>
      <c r="E20" s="43" t="s">
        <v>393</v>
      </c>
      <c r="F20" s="44" t="b">
        <v>1</v>
      </c>
      <c r="G20" s="44" t="b">
        <v>1</v>
      </c>
      <c r="H20" s="44" t="b">
        <v>1</v>
      </c>
      <c r="I20" s="48" t="b">
        <v>0</v>
      </c>
      <c r="J20" s="45"/>
      <c r="K20" s="45"/>
      <c r="L20" s="26"/>
      <c r="M20" s="26"/>
      <c r="N20" s="26"/>
      <c r="O20" s="26"/>
      <c r="P20" s="26"/>
      <c r="Q20" s="26"/>
      <c r="R20" s="26"/>
      <c r="S20" s="26"/>
      <c r="T20" s="26"/>
      <c r="U20" s="26"/>
    </row>
    <row r="21" outlineLevel="1">
      <c r="A21" s="50"/>
      <c r="B21" s="50"/>
      <c r="C21" s="35">
        <f t="shared" si="1"/>
        <v>4</v>
      </c>
      <c r="D21" s="36" t="s">
        <v>398</v>
      </c>
      <c r="E21" s="37" t="s">
        <v>399</v>
      </c>
      <c r="F21" s="38" t="b">
        <v>1</v>
      </c>
      <c r="G21" s="38" t="b">
        <v>1</v>
      </c>
      <c r="H21" s="38" t="b">
        <v>1</v>
      </c>
      <c r="I21" s="38" t="b">
        <v>1</v>
      </c>
      <c r="J21" s="39"/>
      <c r="K21" s="39"/>
      <c r="L21" s="26"/>
      <c r="M21" s="26"/>
      <c r="N21" s="26"/>
      <c r="O21" s="26"/>
      <c r="P21" s="26"/>
      <c r="Q21" s="26"/>
      <c r="R21" s="26"/>
      <c r="S21" s="26"/>
      <c r="T21" s="26"/>
      <c r="U21" s="26"/>
    </row>
    <row r="22" outlineLevel="1">
      <c r="A22" s="94" t="s">
        <v>124</v>
      </c>
      <c r="B22" s="110" t="s">
        <v>405</v>
      </c>
      <c r="C22" s="42">
        <f t="shared" si="1"/>
        <v>3</v>
      </c>
      <c r="D22" s="26" t="s">
        <v>408</v>
      </c>
      <c r="E22" s="43" t="s">
        <v>409</v>
      </c>
      <c r="F22" s="44" t="b">
        <v>0</v>
      </c>
      <c r="G22" s="44" t="b">
        <v>1</v>
      </c>
      <c r="H22" s="44" t="b">
        <v>1</v>
      </c>
      <c r="I22" s="44" t="b">
        <v>1</v>
      </c>
      <c r="J22" s="45"/>
      <c r="K22" s="49" t="s">
        <v>410</v>
      </c>
      <c r="L22" s="26"/>
      <c r="M22" s="26"/>
      <c r="N22" s="26"/>
      <c r="O22" s="26"/>
      <c r="P22" s="26"/>
      <c r="Q22" s="26"/>
      <c r="R22" s="26"/>
      <c r="S22" s="26"/>
      <c r="T22" s="26"/>
      <c r="U22" s="26"/>
    </row>
    <row r="23" outlineLevel="1">
      <c r="A23" s="47"/>
      <c r="B23" s="50"/>
      <c r="C23" s="35">
        <f t="shared" si="1"/>
        <v>4</v>
      </c>
      <c r="D23" s="36" t="s">
        <v>413</v>
      </c>
      <c r="E23" s="37" t="s">
        <v>414</v>
      </c>
      <c r="F23" s="38" t="b">
        <v>1</v>
      </c>
      <c r="G23" s="38" t="b">
        <v>1</v>
      </c>
      <c r="H23" s="38" t="b">
        <v>1</v>
      </c>
      <c r="I23" s="38" t="b">
        <v>1</v>
      </c>
      <c r="J23" s="39"/>
      <c r="K23" s="54" t="s">
        <v>417</v>
      </c>
      <c r="L23" s="26"/>
      <c r="M23" s="26"/>
      <c r="N23" s="26"/>
      <c r="O23" s="26"/>
      <c r="P23" s="26"/>
      <c r="Q23" s="26"/>
      <c r="R23" s="26"/>
      <c r="S23" s="26"/>
      <c r="T23" s="26"/>
      <c r="U23" s="26"/>
    </row>
    <row r="24" outlineLevel="1">
      <c r="A24" s="47"/>
      <c r="B24" s="91" t="s">
        <v>157</v>
      </c>
      <c r="C24" s="42">
        <f t="shared" si="1"/>
        <v>4</v>
      </c>
      <c r="D24" s="26" t="s">
        <v>423</v>
      </c>
      <c r="E24" s="43" t="s">
        <v>424</v>
      </c>
      <c r="F24" s="44" t="b">
        <v>1</v>
      </c>
      <c r="G24" s="44" t="b">
        <v>1</v>
      </c>
      <c r="H24" s="44" t="b">
        <v>1</v>
      </c>
      <c r="I24" s="44" t="b">
        <v>1</v>
      </c>
      <c r="J24" s="45"/>
      <c r="K24" s="49" t="s">
        <v>428</v>
      </c>
      <c r="L24" s="26"/>
      <c r="M24" s="26"/>
      <c r="N24" s="26"/>
      <c r="O24" s="26"/>
      <c r="P24" s="26"/>
      <c r="Q24" s="26"/>
      <c r="R24" s="26"/>
      <c r="S24" s="26"/>
      <c r="T24" s="26"/>
      <c r="U24" s="26"/>
    </row>
    <row r="25" outlineLevel="1">
      <c r="A25" s="47"/>
      <c r="B25" s="50"/>
      <c r="C25" s="35">
        <f t="shared" si="1"/>
        <v>4</v>
      </c>
      <c r="D25" s="36" t="s">
        <v>430</v>
      </c>
      <c r="E25" s="37" t="s">
        <v>431</v>
      </c>
      <c r="F25" s="38" t="b">
        <v>1</v>
      </c>
      <c r="G25" s="38" t="b">
        <v>1</v>
      </c>
      <c r="H25" s="38" t="b">
        <v>1</v>
      </c>
      <c r="I25" s="38" t="b">
        <v>1</v>
      </c>
      <c r="J25" s="39"/>
      <c r="K25" s="54" t="s">
        <v>389</v>
      </c>
      <c r="L25" s="26"/>
      <c r="M25" s="26"/>
      <c r="N25" s="26"/>
      <c r="O25" s="26"/>
      <c r="P25" s="26"/>
      <c r="Q25" s="26"/>
      <c r="R25" s="26"/>
      <c r="S25" s="26"/>
      <c r="T25" s="26"/>
      <c r="U25" s="26"/>
    </row>
    <row r="26" outlineLevel="1">
      <c r="A26" s="47"/>
      <c r="B26" s="117" t="s">
        <v>436</v>
      </c>
      <c r="C26" s="42">
        <f t="shared" si="1"/>
        <v>3</v>
      </c>
      <c r="D26" s="26" t="s">
        <v>441</v>
      </c>
      <c r="E26" s="43" t="s">
        <v>442</v>
      </c>
      <c r="F26" s="44" t="b">
        <v>1</v>
      </c>
      <c r="G26" s="48" t="b">
        <v>0</v>
      </c>
      <c r="H26" s="44" t="b">
        <v>1</v>
      </c>
      <c r="I26" s="44" t="b">
        <v>1</v>
      </c>
      <c r="J26" s="45"/>
      <c r="K26" s="45"/>
      <c r="L26" s="26"/>
      <c r="M26" s="26"/>
      <c r="N26" s="26"/>
      <c r="O26" s="26"/>
      <c r="P26" s="26"/>
      <c r="Q26" s="26"/>
      <c r="R26" s="26"/>
      <c r="S26" s="26"/>
      <c r="T26" s="26"/>
      <c r="U26" s="26"/>
    </row>
    <row r="27" outlineLevel="1">
      <c r="A27" s="47"/>
      <c r="B27" s="47"/>
      <c r="C27" s="42">
        <f t="shared" si="1"/>
        <v>1</v>
      </c>
      <c r="D27" s="26" t="s">
        <v>446</v>
      </c>
      <c r="E27" s="43" t="s">
        <v>448</v>
      </c>
      <c r="F27" s="44" t="b">
        <v>1</v>
      </c>
      <c r="G27" s="48" t="b">
        <v>0</v>
      </c>
      <c r="H27" s="48" t="b">
        <v>0</v>
      </c>
      <c r="I27" s="48" t="b">
        <v>0</v>
      </c>
      <c r="J27" s="45"/>
      <c r="K27" s="45"/>
      <c r="L27" s="26"/>
      <c r="M27" s="26"/>
      <c r="N27" s="26"/>
      <c r="O27" s="26"/>
      <c r="P27" s="26"/>
      <c r="Q27" s="26"/>
      <c r="R27" s="26"/>
      <c r="S27" s="26"/>
      <c r="T27" s="26"/>
      <c r="U27" s="26"/>
    </row>
    <row r="28" outlineLevel="1">
      <c r="A28" s="47"/>
      <c r="B28" s="47"/>
      <c r="C28" s="42">
        <f t="shared" si="1"/>
        <v>1</v>
      </c>
      <c r="D28" s="26" t="s">
        <v>452</v>
      </c>
      <c r="E28" s="43" t="s">
        <v>454</v>
      </c>
      <c r="F28" s="44" t="b">
        <v>1</v>
      </c>
      <c r="G28" s="48" t="b">
        <v>0</v>
      </c>
      <c r="H28" s="48" t="b">
        <v>0</v>
      </c>
      <c r="I28" s="48" t="b">
        <v>0</v>
      </c>
      <c r="J28" s="45"/>
      <c r="K28" s="45"/>
      <c r="L28" s="26"/>
      <c r="M28" s="26"/>
      <c r="N28" s="26"/>
      <c r="O28" s="26"/>
      <c r="P28" s="26"/>
      <c r="Q28" s="26"/>
      <c r="R28" s="26"/>
      <c r="S28" s="26"/>
      <c r="T28" s="26"/>
      <c r="U28" s="26"/>
    </row>
    <row r="29" outlineLevel="1">
      <c r="A29" s="47"/>
      <c r="B29" s="47"/>
      <c r="C29" s="42">
        <f t="shared" si="1"/>
        <v>2</v>
      </c>
      <c r="D29" s="26" t="s">
        <v>459</v>
      </c>
      <c r="E29" s="43" t="s">
        <v>460</v>
      </c>
      <c r="F29" s="44" t="b">
        <v>1</v>
      </c>
      <c r="G29" s="48" t="b">
        <v>0</v>
      </c>
      <c r="H29" s="44" t="b">
        <v>1</v>
      </c>
      <c r="I29" s="48" t="b">
        <v>0</v>
      </c>
      <c r="J29" s="45"/>
      <c r="K29" s="45"/>
      <c r="L29" s="26"/>
      <c r="M29" s="26"/>
      <c r="N29" s="26"/>
      <c r="O29" s="26"/>
      <c r="P29" s="26"/>
      <c r="Q29" s="26"/>
      <c r="R29" s="26"/>
      <c r="S29" s="26"/>
      <c r="T29" s="26"/>
      <c r="U29" s="26"/>
    </row>
    <row r="30" outlineLevel="1">
      <c r="A30" s="47"/>
      <c r="B30" s="47"/>
      <c r="C30" s="42">
        <f t="shared" si="1"/>
        <v>2</v>
      </c>
      <c r="D30" s="26" t="s">
        <v>463</v>
      </c>
      <c r="E30" s="43" t="s">
        <v>464</v>
      </c>
      <c r="F30" s="44" t="b">
        <v>1</v>
      </c>
      <c r="G30" s="48" t="b">
        <v>0</v>
      </c>
      <c r="H30" s="44" t="b">
        <v>1</v>
      </c>
      <c r="I30" s="48" t="b">
        <v>0</v>
      </c>
      <c r="J30" s="45"/>
      <c r="K30" s="45"/>
      <c r="L30" s="26"/>
      <c r="M30" s="26"/>
      <c r="N30" s="26"/>
      <c r="O30" s="26"/>
      <c r="P30" s="26"/>
      <c r="Q30" s="26"/>
      <c r="R30" s="26"/>
      <c r="S30" s="26"/>
      <c r="T30" s="26"/>
      <c r="U30" s="26"/>
    </row>
    <row r="31" outlineLevel="1">
      <c r="A31" s="47"/>
      <c r="B31" s="47"/>
      <c r="C31" s="42">
        <f t="shared" si="1"/>
        <v>1</v>
      </c>
      <c r="D31" s="26" t="s">
        <v>468</v>
      </c>
      <c r="E31" s="43" t="s">
        <v>469</v>
      </c>
      <c r="F31" s="44" t="b">
        <v>1</v>
      </c>
      <c r="G31" s="48" t="b">
        <v>0</v>
      </c>
      <c r="H31" s="44" t="b">
        <v>0</v>
      </c>
      <c r="I31" s="48" t="b">
        <v>0</v>
      </c>
      <c r="J31" s="45"/>
      <c r="K31" s="45"/>
      <c r="L31" s="26"/>
      <c r="M31" s="26"/>
      <c r="N31" s="26"/>
      <c r="O31" s="26"/>
      <c r="P31" s="26"/>
      <c r="Q31" s="26"/>
      <c r="R31" s="26"/>
      <c r="S31" s="26"/>
      <c r="T31" s="26"/>
      <c r="U31" s="26"/>
    </row>
    <row r="32" outlineLevel="1">
      <c r="A32" s="47"/>
      <c r="B32" s="47"/>
      <c r="C32" s="42">
        <f t="shared" si="1"/>
        <v>4</v>
      </c>
      <c r="D32" s="26" t="s">
        <v>472</v>
      </c>
      <c r="E32" s="43" t="s">
        <v>473</v>
      </c>
      <c r="F32" s="44" t="b">
        <v>1</v>
      </c>
      <c r="G32" s="44" t="b">
        <v>1</v>
      </c>
      <c r="H32" s="44" t="b">
        <v>1</v>
      </c>
      <c r="I32" s="44" t="b">
        <v>1</v>
      </c>
      <c r="J32" s="45"/>
      <c r="K32" s="45"/>
      <c r="L32" s="26"/>
      <c r="M32" s="26"/>
      <c r="N32" s="26"/>
      <c r="O32" s="26"/>
      <c r="P32" s="26"/>
      <c r="Q32" s="26"/>
      <c r="R32" s="26"/>
      <c r="S32" s="26"/>
      <c r="T32" s="26"/>
      <c r="U32" s="26"/>
    </row>
    <row r="33" outlineLevel="1">
      <c r="A33" s="47"/>
      <c r="B33" s="47"/>
      <c r="C33" s="42">
        <f t="shared" si="1"/>
        <v>1</v>
      </c>
      <c r="D33" s="26" t="s">
        <v>478</v>
      </c>
      <c r="E33" s="43" t="s">
        <v>479</v>
      </c>
      <c r="F33" s="44" t="b">
        <v>1</v>
      </c>
      <c r="G33" s="48" t="b">
        <v>0</v>
      </c>
      <c r="H33" s="48" t="b">
        <v>0</v>
      </c>
      <c r="I33" s="48" t="b">
        <v>0</v>
      </c>
      <c r="J33" s="45"/>
      <c r="K33" s="45"/>
      <c r="L33" s="26"/>
      <c r="M33" s="26"/>
      <c r="N33" s="26"/>
      <c r="O33" s="26"/>
      <c r="P33" s="26"/>
      <c r="Q33" s="26"/>
      <c r="R33" s="26"/>
      <c r="S33" s="26"/>
      <c r="T33" s="26"/>
      <c r="U33" s="26"/>
    </row>
    <row r="34" outlineLevel="1">
      <c r="A34" s="47"/>
      <c r="B34" s="50"/>
      <c r="C34" s="35">
        <f t="shared" si="1"/>
        <v>4</v>
      </c>
      <c r="D34" s="36" t="s">
        <v>483</v>
      </c>
      <c r="E34" s="37" t="s">
        <v>484</v>
      </c>
      <c r="F34" s="38" t="b">
        <v>1</v>
      </c>
      <c r="G34" s="38" t="b">
        <v>1</v>
      </c>
      <c r="H34" s="38" t="b">
        <v>1</v>
      </c>
      <c r="I34" s="38" t="b">
        <v>1</v>
      </c>
      <c r="J34" s="39"/>
      <c r="K34" s="39"/>
      <c r="L34" s="26"/>
      <c r="M34" s="26"/>
      <c r="N34" s="26"/>
      <c r="O34" s="26"/>
      <c r="P34" s="26"/>
      <c r="Q34" s="26"/>
      <c r="R34" s="26"/>
      <c r="S34" s="26"/>
      <c r="T34" s="26"/>
      <c r="U34" s="26"/>
    </row>
    <row r="35" outlineLevel="1">
      <c r="A35" s="50"/>
      <c r="B35" s="95" t="s">
        <v>487</v>
      </c>
      <c r="C35" s="35">
        <f t="shared" si="1"/>
        <v>2</v>
      </c>
      <c r="D35" s="36" t="s">
        <v>488</v>
      </c>
      <c r="E35" s="37" t="s">
        <v>490</v>
      </c>
      <c r="F35" s="38" t="b">
        <v>1</v>
      </c>
      <c r="G35" s="53" t="b">
        <v>0</v>
      </c>
      <c r="H35" s="38" t="b">
        <v>1</v>
      </c>
      <c r="I35" s="53" t="b">
        <v>0</v>
      </c>
      <c r="J35" s="39"/>
      <c r="K35" s="39"/>
      <c r="L35" s="26"/>
      <c r="M35" s="26"/>
      <c r="N35" s="26"/>
      <c r="O35" s="26"/>
      <c r="P35" s="26"/>
      <c r="Q35" s="26"/>
      <c r="R35" s="26"/>
      <c r="S35" s="26"/>
      <c r="T35" s="26"/>
      <c r="U35" s="26"/>
    </row>
    <row r="36" outlineLevel="1">
      <c r="A36" s="161" t="s">
        <v>458</v>
      </c>
      <c r="B36" s="162" t="s">
        <v>495</v>
      </c>
      <c r="C36" s="42">
        <f t="shared" si="1"/>
        <v>4</v>
      </c>
      <c r="D36" s="26" t="s">
        <v>498</v>
      </c>
      <c r="E36" s="43" t="s">
        <v>499</v>
      </c>
      <c r="F36" s="44" t="b">
        <v>1</v>
      </c>
      <c r="G36" s="44" t="b">
        <v>1</v>
      </c>
      <c r="H36" s="44" t="b">
        <v>1</v>
      </c>
      <c r="I36" s="44" t="b">
        <v>1</v>
      </c>
      <c r="J36" s="45"/>
      <c r="K36" s="45"/>
      <c r="L36" s="26"/>
      <c r="M36" s="26"/>
      <c r="N36" s="26"/>
      <c r="O36" s="26"/>
      <c r="P36" s="26"/>
      <c r="Q36" s="26"/>
      <c r="R36" s="26"/>
      <c r="S36" s="26"/>
      <c r="T36" s="26"/>
      <c r="U36" s="26"/>
    </row>
    <row r="37" outlineLevel="1">
      <c r="A37" s="47"/>
      <c r="B37" s="47"/>
      <c r="C37" s="42">
        <f t="shared" si="1"/>
        <v>2</v>
      </c>
      <c r="D37" s="26" t="s">
        <v>505</v>
      </c>
      <c r="E37" s="43" t="s">
        <v>506</v>
      </c>
      <c r="F37" s="44" t="b">
        <v>1</v>
      </c>
      <c r="G37" s="48" t="b">
        <v>0</v>
      </c>
      <c r="H37" s="44" t="b">
        <v>1</v>
      </c>
      <c r="I37" s="48" t="b">
        <v>0</v>
      </c>
      <c r="J37" s="45"/>
      <c r="K37" s="49" t="s">
        <v>542</v>
      </c>
      <c r="L37" s="26"/>
      <c r="M37" s="26"/>
      <c r="N37" s="26"/>
      <c r="O37" s="26"/>
      <c r="P37" s="26"/>
      <c r="Q37" s="26"/>
      <c r="R37" s="26"/>
      <c r="S37" s="26"/>
      <c r="T37" s="26"/>
      <c r="U37" s="26"/>
    </row>
    <row r="38" outlineLevel="1">
      <c r="A38" s="47"/>
      <c r="B38" s="47"/>
      <c r="C38" s="42">
        <f t="shared" si="1"/>
        <v>2</v>
      </c>
      <c r="D38" s="26" t="s">
        <v>547</v>
      </c>
      <c r="E38" s="43" t="s">
        <v>548</v>
      </c>
      <c r="F38" s="44" t="b">
        <v>1</v>
      </c>
      <c r="G38" s="44" t="b">
        <v>0</v>
      </c>
      <c r="H38" s="44" t="b">
        <v>1</v>
      </c>
      <c r="I38" s="48" t="b">
        <v>0</v>
      </c>
      <c r="J38" s="45"/>
      <c r="K38" s="45"/>
      <c r="L38" s="26"/>
      <c r="M38" s="26"/>
      <c r="N38" s="26"/>
      <c r="O38" s="26"/>
      <c r="P38" s="26"/>
      <c r="Q38" s="26"/>
      <c r="R38" s="26"/>
      <c r="S38" s="26"/>
      <c r="T38" s="26"/>
      <c r="U38" s="26"/>
    </row>
    <row r="39" outlineLevel="1">
      <c r="A39" s="47"/>
      <c r="B39" s="47"/>
      <c r="C39" s="42">
        <f t="shared" si="1"/>
        <v>2</v>
      </c>
      <c r="D39" s="26" t="s">
        <v>552</v>
      </c>
      <c r="E39" s="43" t="s">
        <v>554</v>
      </c>
      <c r="F39" s="44" t="b">
        <v>1</v>
      </c>
      <c r="G39" s="44" t="b">
        <v>0</v>
      </c>
      <c r="H39" s="44" t="b">
        <v>1</v>
      </c>
      <c r="I39" s="48" t="b">
        <v>0</v>
      </c>
      <c r="J39" s="45"/>
      <c r="K39" s="45"/>
      <c r="L39" s="26"/>
      <c r="M39" s="26"/>
      <c r="N39" s="26"/>
      <c r="O39" s="26"/>
      <c r="P39" s="26"/>
      <c r="Q39" s="26"/>
      <c r="R39" s="26"/>
      <c r="S39" s="26"/>
      <c r="T39" s="26"/>
      <c r="U39" s="26"/>
    </row>
    <row r="40" outlineLevel="1">
      <c r="A40" s="47"/>
      <c r="B40" s="47"/>
      <c r="C40" s="42">
        <f t="shared" si="1"/>
        <v>4</v>
      </c>
      <c r="D40" s="26" t="s">
        <v>559</v>
      </c>
      <c r="E40" s="43" t="s">
        <v>560</v>
      </c>
      <c r="F40" s="44" t="b">
        <v>1</v>
      </c>
      <c r="G40" s="44" t="b">
        <v>1</v>
      </c>
      <c r="H40" s="44" t="b">
        <v>1</v>
      </c>
      <c r="I40" s="44" t="b">
        <v>1</v>
      </c>
      <c r="J40" s="45"/>
      <c r="K40" s="49" t="s">
        <v>563</v>
      </c>
      <c r="L40" s="26"/>
      <c r="M40" s="26"/>
      <c r="N40" s="26"/>
      <c r="O40" s="26"/>
      <c r="P40" s="26"/>
      <c r="Q40" s="26"/>
      <c r="R40" s="26"/>
      <c r="S40" s="26"/>
      <c r="T40" s="26"/>
      <c r="U40" s="26"/>
    </row>
    <row r="41" outlineLevel="1">
      <c r="A41" s="47"/>
      <c r="B41" s="47"/>
      <c r="C41" s="42">
        <f t="shared" si="1"/>
        <v>4</v>
      </c>
      <c r="D41" s="26" t="s">
        <v>564</v>
      </c>
      <c r="E41" s="43" t="s">
        <v>565</v>
      </c>
      <c r="F41" s="44" t="b">
        <v>1</v>
      </c>
      <c r="G41" s="44" t="b">
        <v>1</v>
      </c>
      <c r="H41" s="44" t="b">
        <v>1</v>
      </c>
      <c r="I41" s="44" t="b">
        <v>1</v>
      </c>
      <c r="J41" s="45"/>
      <c r="K41" s="45"/>
      <c r="L41" s="26"/>
      <c r="M41" s="26"/>
      <c r="N41" s="26"/>
      <c r="O41" s="26"/>
      <c r="P41" s="26"/>
      <c r="Q41" s="26"/>
      <c r="R41" s="26"/>
      <c r="S41" s="26"/>
      <c r="T41" s="26"/>
      <c r="U41" s="26"/>
    </row>
    <row r="42" outlineLevel="1">
      <c r="A42" s="47"/>
      <c r="B42" s="47"/>
      <c r="C42" s="42">
        <f t="shared" si="1"/>
        <v>4</v>
      </c>
      <c r="D42" s="26" t="s">
        <v>568</v>
      </c>
      <c r="E42" s="43" t="s">
        <v>569</v>
      </c>
      <c r="F42" s="44" t="b">
        <v>1</v>
      </c>
      <c r="G42" s="44" t="b">
        <v>1</v>
      </c>
      <c r="H42" s="44" t="b">
        <v>1</v>
      </c>
      <c r="I42" s="44" t="b">
        <v>1</v>
      </c>
      <c r="J42" s="45"/>
      <c r="K42" s="45"/>
      <c r="L42" s="26"/>
      <c r="M42" s="26"/>
      <c r="N42" s="26"/>
      <c r="O42" s="26"/>
      <c r="P42" s="26"/>
      <c r="Q42" s="26"/>
      <c r="R42" s="26"/>
      <c r="S42" s="26"/>
      <c r="T42" s="26"/>
      <c r="U42" s="26"/>
    </row>
    <row r="43" outlineLevel="1">
      <c r="A43" s="47"/>
      <c r="B43" s="47"/>
      <c r="C43" s="42">
        <f t="shared" si="1"/>
        <v>2</v>
      </c>
      <c r="D43" s="26" t="s">
        <v>572</v>
      </c>
      <c r="E43" s="43" t="s">
        <v>573</v>
      </c>
      <c r="F43" s="44" t="b">
        <v>1</v>
      </c>
      <c r="G43" s="44" t="b">
        <v>1</v>
      </c>
      <c r="H43" s="48" t="b">
        <v>0</v>
      </c>
      <c r="I43" s="48" t="b">
        <v>0</v>
      </c>
      <c r="J43" s="45"/>
      <c r="K43" s="45"/>
      <c r="L43" s="26"/>
      <c r="M43" s="26"/>
      <c r="N43" s="26"/>
      <c r="O43" s="26"/>
      <c r="P43" s="26"/>
      <c r="Q43" s="26"/>
      <c r="R43" s="26"/>
      <c r="S43" s="26"/>
      <c r="T43" s="26"/>
      <c r="U43" s="26"/>
    </row>
    <row r="44" outlineLevel="1">
      <c r="A44" s="50"/>
      <c r="B44" s="50"/>
      <c r="C44" s="42">
        <f t="shared" si="1"/>
        <v>1</v>
      </c>
      <c r="D44" s="36" t="s">
        <v>575</v>
      </c>
      <c r="E44" s="37" t="s">
        <v>576</v>
      </c>
      <c r="F44" s="38" t="b">
        <v>1</v>
      </c>
      <c r="G44" s="53" t="b">
        <v>0</v>
      </c>
      <c r="H44" s="53" t="b">
        <v>0</v>
      </c>
      <c r="I44" s="53" t="b">
        <v>0</v>
      </c>
      <c r="J44" s="54"/>
      <c r="K44" s="54"/>
      <c r="L44" s="26"/>
      <c r="M44" s="26"/>
      <c r="N44" s="26"/>
      <c r="O44" s="26"/>
      <c r="P44" s="26"/>
      <c r="Q44" s="26"/>
      <c r="R44" s="26"/>
      <c r="S44" s="26"/>
      <c r="T44" s="26"/>
      <c r="U44" s="26"/>
    </row>
    <row r="45">
      <c r="A45" s="97"/>
      <c r="B45" s="97"/>
      <c r="C45" s="97"/>
      <c r="D45" s="97"/>
      <c r="E45" s="97"/>
      <c r="F45" s="97"/>
      <c r="G45" s="97"/>
      <c r="H45" s="97"/>
      <c r="I45" s="97"/>
      <c r="J45" s="97"/>
      <c r="K45" s="97"/>
      <c r="L45" s="26"/>
      <c r="M45" s="26"/>
      <c r="N45" s="26"/>
      <c r="O45" s="26"/>
      <c r="P45" s="26"/>
      <c r="Q45" s="26"/>
      <c r="R45" s="26"/>
      <c r="S45" s="26"/>
      <c r="T45" s="26"/>
      <c r="U45" s="26"/>
    </row>
    <row r="46" outlineLevel="1">
      <c r="A46" s="100" t="s">
        <v>4</v>
      </c>
      <c r="C46" s="102" t="s">
        <v>184</v>
      </c>
      <c r="D46" s="103">
        <f>countif(L49:L88,TRUE)</f>
        <v>13</v>
      </c>
      <c r="E46" s="168" t="s">
        <v>195</v>
      </c>
      <c r="F46" s="102" t="s">
        <v>196</v>
      </c>
      <c r="H46" s="105">
        <f>IFERROR(__xludf.DUMMYFUNCTION("COUNTUNIQUE(D5:D44)"),40.0)</f>
        <v>40</v>
      </c>
      <c r="I46" s="107" t="s">
        <v>206</v>
      </c>
      <c r="J46" s="108"/>
      <c r="K46" s="108">
        <f>H46/3</f>
        <v>13.33333333</v>
      </c>
      <c r="L46" s="26"/>
      <c r="M46" s="26"/>
      <c r="N46" s="26"/>
      <c r="O46" s="26"/>
      <c r="P46" s="26"/>
      <c r="Q46" s="26"/>
      <c r="R46" s="26"/>
      <c r="S46" s="26"/>
      <c r="T46" s="26"/>
      <c r="U46" s="26"/>
    </row>
    <row r="47">
      <c r="A47" s="109" t="s">
        <v>216</v>
      </c>
      <c r="B47" s="13"/>
      <c r="C47" s="111">
        <v>2.0</v>
      </c>
      <c r="D47" s="9"/>
      <c r="E47" s="112" t="s">
        <v>226</v>
      </c>
      <c r="F47" s="9"/>
      <c r="G47" s="9"/>
      <c r="H47" s="9"/>
      <c r="I47" s="9"/>
      <c r="J47" s="9"/>
      <c r="K47" s="9"/>
      <c r="L47" s="26"/>
      <c r="M47" s="26"/>
      <c r="N47" s="26"/>
      <c r="O47" s="26"/>
      <c r="P47" s="26"/>
      <c r="Q47" s="26"/>
      <c r="R47" s="26"/>
      <c r="S47" s="26"/>
      <c r="T47" s="26"/>
      <c r="U47" s="26"/>
    </row>
    <row r="48">
      <c r="A48" s="17" t="s">
        <v>7</v>
      </c>
      <c r="B48" s="19"/>
      <c r="C48" s="20" t="s">
        <v>8</v>
      </c>
      <c r="D48" s="21" t="s">
        <v>9</v>
      </c>
      <c r="E48" s="23" t="s">
        <v>10</v>
      </c>
      <c r="F48" s="20" t="s">
        <v>12</v>
      </c>
      <c r="G48" s="20" t="s">
        <v>13</v>
      </c>
      <c r="H48" s="20" t="s">
        <v>234</v>
      </c>
      <c r="I48" s="20" t="s">
        <v>17</v>
      </c>
      <c r="J48" s="20"/>
      <c r="K48" s="20" t="s">
        <v>18</v>
      </c>
      <c r="L48" s="21" t="s">
        <v>235</v>
      </c>
      <c r="M48" s="26"/>
      <c r="N48" s="26"/>
      <c r="O48" s="26"/>
      <c r="P48" s="26"/>
      <c r="Q48" s="26"/>
      <c r="R48" s="26"/>
      <c r="S48" s="26"/>
      <c r="T48" s="26"/>
      <c r="U48" s="26"/>
    </row>
    <row r="49">
      <c r="A49" s="79" t="s">
        <v>19</v>
      </c>
      <c r="B49" s="123" t="s">
        <v>265</v>
      </c>
      <c r="C49" s="42">
        <f t="shared" ref="C49:C88" si="4">countif(F49:I49,TRUE)</f>
        <v>0</v>
      </c>
      <c r="D49" s="9" t="str">
        <f t="shared" ref="D49:I49" si="2">if($C5&gt;$C$47,D5,"")</f>
        <v/>
      </c>
      <c r="E49" s="114" t="str">
        <f t="shared" si="2"/>
        <v/>
      </c>
      <c r="F49" s="115" t="str">
        <f t="shared" si="2"/>
        <v/>
      </c>
      <c r="G49" s="115" t="str">
        <f t="shared" si="2"/>
        <v/>
      </c>
      <c r="H49" s="115" t="str">
        <f t="shared" si="2"/>
        <v/>
      </c>
      <c r="I49" s="115" t="str">
        <f t="shared" si="2"/>
        <v/>
      </c>
      <c r="J49" s="9"/>
      <c r="K49" s="114" t="str">
        <f t="shared" ref="K49:K88" si="6">if($C5&gt;$C$47,K5,"")</f>
        <v/>
      </c>
      <c r="L49" s="116" t="b">
        <v>0</v>
      </c>
      <c r="M49" s="9" t="str">
        <f t="shared" ref="M49:U49" si="3">if($L49=TRUE,C49,"")</f>
        <v/>
      </c>
      <c r="N49" s="9" t="str">
        <f t="shared" si="3"/>
        <v/>
      </c>
      <c r="O49" s="9" t="str">
        <f t="shared" si="3"/>
        <v/>
      </c>
      <c r="P49" s="9" t="str">
        <f t="shared" si="3"/>
        <v/>
      </c>
      <c r="Q49" s="9" t="str">
        <f t="shared" si="3"/>
        <v/>
      </c>
      <c r="R49" s="9" t="str">
        <f t="shared" si="3"/>
        <v/>
      </c>
      <c r="S49" s="9" t="str">
        <f t="shared" si="3"/>
        <v/>
      </c>
      <c r="T49" s="9" t="str">
        <f t="shared" si="3"/>
        <v/>
      </c>
      <c r="U49" s="11" t="str">
        <f t="shared" si="3"/>
        <v/>
      </c>
    </row>
    <row r="50">
      <c r="A50" s="47"/>
      <c r="B50" s="47"/>
      <c r="C50" s="42">
        <f t="shared" si="4"/>
        <v>4</v>
      </c>
      <c r="D50" s="9" t="str">
        <f t="shared" ref="D50:I50" si="5">if($C6&gt;$C$47,D6,"")</f>
        <v>3.NBT.A.2</v>
      </c>
      <c r="E50" s="114" t="str">
        <f t="shared" si="5"/>
        <v>Fluently add and subtract within 1000 using strategies and algorithms based on place value, properties of operations, and/or the relationship between addition and subtraction.</v>
      </c>
      <c r="F50" s="115" t="b">
        <f t="shared" si="5"/>
        <v>1</v>
      </c>
      <c r="G50" s="115" t="b">
        <f t="shared" si="5"/>
        <v>1</v>
      </c>
      <c r="H50" s="115" t="b">
        <f t="shared" si="5"/>
        <v>1</v>
      </c>
      <c r="I50" s="115" t="b">
        <f t="shared" si="5"/>
        <v>1</v>
      </c>
      <c r="J50" s="9"/>
      <c r="K50" s="114" t="str">
        <f t="shared" si="6"/>
        <v/>
      </c>
      <c r="L50" s="120" t="b">
        <v>1</v>
      </c>
      <c r="M50" s="9">
        <f t="shared" ref="M50:U50" si="7">if($L50=TRUE,C50,"")</f>
        <v>4</v>
      </c>
      <c r="N50" s="9" t="str">
        <f t="shared" si="7"/>
        <v>3.NBT.A.2</v>
      </c>
      <c r="O50" s="9" t="str">
        <f t="shared" si="7"/>
        <v>Fluently add and subtract within 1000 using strategies and algorithms based on place value, properties of operations, and/or the relationship between addition and subtraction.</v>
      </c>
      <c r="P50" s="9" t="b">
        <f t="shared" si="7"/>
        <v>1</v>
      </c>
      <c r="Q50" s="9" t="b">
        <f t="shared" si="7"/>
        <v>1</v>
      </c>
      <c r="R50" s="9" t="b">
        <f t="shared" si="7"/>
        <v>1</v>
      </c>
      <c r="S50" s="9" t="b">
        <f t="shared" si="7"/>
        <v>1</v>
      </c>
      <c r="T50" s="9" t="str">
        <f t="shared" si="7"/>
        <v/>
      </c>
      <c r="U50" s="11" t="str">
        <f t="shared" si="7"/>
        <v/>
      </c>
    </row>
    <row r="51">
      <c r="A51" s="50"/>
      <c r="B51" s="47"/>
      <c r="C51" s="35">
        <f t="shared" si="4"/>
        <v>4</v>
      </c>
      <c r="D51" s="9" t="str">
        <f t="shared" ref="D51:I51" si="8">if($C7&gt;$C$47,D7,"")</f>
        <v>3.NBT.A.3</v>
      </c>
      <c r="E51" s="114" t="str">
        <f t="shared" si="8"/>
        <v>Multiply one-digit whole numbers by multiples of 10 in the range 10–90 (e.g., 9 × 80, 5 × 60) using strategies based on place value and properties of operations.</v>
      </c>
      <c r="F51" s="115" t="b">
        <f t="shared" si="8"/>
        <v>1</v>
      </c>
      <c r="G51" s="115" t="b">
        <f t="shared" si="8"/>
        <v>1</v>
      </c>
      <c r="H51" s="115" t="b">
        <f t="shared" si="8"/>
        <v>1</v>
      </c>
      <c r="I51" s="115" t="b">
        <f t="shared" si="8"/>
        <v>1</v>
      </c>
      <c r="J51" s="9"/>
      <c r="K51" s="114" t="str">
        <f t="shared" si="6"/>
        <v/>
      </c>
      <c r="L51" s="120" t="b">
        <v>0</v>
      </c>
      <c r="M51" s="9" t="str">
        <f t="shared" ref="M51:U51" si="9">if($L51=TRUE,C51,"")</f>
        <v/>
      </c>
      <c r="N51" s="9" t="str">
        <f t="shared" si="9"/>
        <v/>
      </c>
      <c r="O51" s="9" t="str">
        <f t="shared" si="9"/>
        <v/>
      </c>
      <c r="P51" s="9" t="str">
        <f t="shared" si="9"/>
        <v/>
      </c>
      <c r="Q51" s="9" t="str">
        <f t="shared" si="9"/>
        <v/>
      </c>
      <c r="R51" s="9" t="str">
        <f t="shared" si="9"/>
        <v/>
      </c>
      <c r="S51" s="9" t="str">
        <f t="shared" si="9"/>
        <v/>
      </c>
      <c r="T51" s="9" t="str">
        <f t="shared" si="9"/>
        <v/>
      </c>
      <c r="U51" s="11" t="str">
        <f t="shared" si="9"/>
        <v/>
      </c>
    </row>
    <row r="52">
      <c r="A52" s="58"/>
      <c r="B52" s="47"/>
      <c r="C52" s="35">
        <f t="shared" si="4"/>
        <v>3</v>
      </c>
      <c r="D52" s="9" t="str">
        <f t="shared" ref="D52:I52" si="10">if($C8&gt;$C$47,D8,"")</f>
        <v>3.NBT.A.4</v>
      </c>
      <c r="E52" s="114" t="str">
        <f t="shared" si="10"/>
        <v>Understand that the four digits of a four-digit number represent amounts of thousands, hundreds, ten, and ones.</v>
      </c>
      <c r="F52" s="115" t="b">
        <f t="shared" si="10"/>
        <v>1</v>
      </c>
      <c r="G52" s="115" t="b">
        <f t="shared" si="10"/>
        <v>1</v>
      </c>
      <c r="H52" s="115" t="b">
        <f t="shared" si="10"/>
        <v>0</v>
      </c>
      <c r="I52" s="115" t="b">
        <f t="shared" si="10"/>
        <v>1</v>
      </c>
      <c r="J52" s="9"/>
      <c r="K52" s="114" t="str">
        <f t="shared" si="6"/>
        <v/>
      </c>
      <c r="L52" s="121" t="b">
        <v>0</v>
      </c>
      <c r="M52" s="9"/>
      <c r="N52" s="9"/>
      <c r="O52" s="9"/>
      <c r="P52" s="9"/>
      <c r="Q52" s="9"/>
      <c r="R52" s="9"/>
      <c r="S52" s="9"/>
      <c r="T52" s="9"/>
      <c r="U52" s="11"/>
    </row>
    <row r="53">
      <c r="A53" s="58"/>
      <c r="B53" s="47"/>
      <c r="C53" s="35">
        <f t="shared" si="4"/>
        <v>4</v>
      </c>
      <c r="D53" s="9" t="str">
        <f t="shared" ref="D53:I53" si="11">if($C9&gt;$C$47,D9,"")</f>
        <v>3.NBT.A.5</v>
      </c>
      <c r="E53" s="114" t="str">
        <f t="shared" si="11"/>
        <v>Read and write numbers to 10,000 using base-ten numerals, number names, and expanded form(s).</v>
      </c>
      <c r="F53" s="115" t="b">
        <f t="shared" si="11"/>
        <v>1</v>
      </c>
      <c r="G53" s="115" t="b">
        <f t="shared" si="11"/>
        <v>1</v>
      </c>
      <c r="H53" s="115" t="b">
        <f t="shared" si="11"/>
        <v>1</v>
      </c>
      <c r="I53" s="115" t="b">
        <f t="shared" si="11"/>
        <v>1</v>
      </c>
      <c r="J53" s="9"/>
      <c r="K53" s="114" t="str">
        <f t="shared" si="6"/>
        <v/>
      </c>
      <c r="L53" s="120" t="b">
        <v>1</v>
      </c>
      <c r="M53" s="9"/>
      <c r="N53" s="9"/>
      <c r="O53" s="9"/>
      <c r="P53" s="9"/>
      <c r="Q53" s="9"/>
      <c r="R53" s="9"/>
      <c r="S53" s="9"/>
      <c r="T53" s="9"/>
      <c r="U53" s="11"/>
    </row>
    <row r="54">
      <c r="A54" s="58"/>
      <c r="B54" s="50"/>
      <c r="C54" s="35">
        <f t="shared" si="4"/>
        <v>0</v>
      </c>
      <c r="D54" s="9" t="str">
        <f t="shared" ref="D54:I54" si="12">if($C10&gt;$C$47,D10,"")</f>
        <v/>
      </c>
      <c r="E54" s="114" t="str">
        <f t="shared" si="12"/>
        <v/>
      </c>
      <c r="F54" s="115" t="str">
        <f t="shared" si="12"/>
        <v/>
      </c>
      <c r="G54" s="115" t="str">
        <f t="shared" si="12"/>
        <v/>
      </c>
      <c r="H54" s="115" t="str">
        <f t="shared" si="12"/>
        <v/>
      </c>
      <c r="I54" s="115" t="str">
        <f t="shared" si="12"/>
        <v/>
      </c>
      <c r="J54" s="9"/>
      <c r="K54" s="114" t="str">
        <f t="shared" si="6"/>
        <v/>
      </c>
      <c r="L54" s="121" t="b">
        <v>0</v>
      </c>
      <c r="M54" s="9"/>
      <c r="N54" s="9"/>
      <c r="O54" s="9"/>
      <c r="P54" s="9"/>
      <c r="Q54" s="9"/>
      <c r="R54" s="9"/>
      <c r="S54" s="9"/>
      <c r="T54" s="9"/>
      <c r="U54" s="11"/>
    </row>
    <row r="55">
      <c r="A55" s="66" t="s">
        <v>47</v>
      </c>
      <c r="B55" s="56" t="s">
        <v>288</v>
      </c>
      <c r="C55" s="42">
        <f t="shared" si="4"/>
        <v>4</v>
      </c>
      <c r="D55" s="9" t="str">
        <f t="shared" ref="D55:I55" si="13">if($C11&gt;$C$47,D11,"")</f>
        <v>3.OA.A.1</v>
      </c>
      <c r="E55" s="114" t="str">
        <f t="shared" si="13"/>
        <v>Interpret products of whole numbers, e.g., interpret 5 × 7 as the total number of objects in 5 groups of 7 objects each. For example, describe a context in which a total number of objects can be expressed as 5 × 7.</v>
      </c>
      <c r="F55" s="115" t="b">
        <f t="shared" si="13"/>
        <v>1</v>
      </c>
      <c r="G55" s="115" t="b">
        <f t="shared" si="13"/>
        <v>1</v>
      </c>
      <c r="H55" s="115" t="b">
        <f t="shared" si="13"/>
        <v>1</v>
      </c>
      <c r="I55" s="115" t="b">
        <f t="shared" si="13"/>
        <v>1</v>
      </c>
      <c r="J55" s="9"/>
      <c r="K55" s="114" t="str">
        <f t="shared" si="6"/>
        <v/>
      </c>
      <c r="L55" s="120" t="b">
        <v>1</v>
      </c>
      <c r="M55" s="9">
        <f t="shared" ref="M55:U55" si="14">if($L55=TRUE,C55,"")</f>
        <v>4</v>
      </c>
      <c r="N55" s="9" t="str">
        <f t="shared" si="14"/>
        <v>3.OA.A.1</v>
      </c>
      <c r="O55" s="9" t="str">
        <f t="shared" si="14"/>
        <v>Interpret products of whole numbers, e.g., interpret 5 × 7 as the total number of objects in 5 groups of 7 objects each. For example, describe a context in which a total number of objects can be expressed as 5 × 7.</v>
      </c>
      <c r="P55" s="9" t="b">
        <f t="shared" si="14"/>
        <v>1</v>
      </c>
      <c r="Q55" s="9" t="b">
        <f t="shared" si="14"/>
        <v>1</v>
      </c>
      <c r="R55" s="9" t="b">
        <f t="shared" si="14"/>
        <v>1</v>
      </c>
      <c r="S55" s="9" t="b">
        <f t="shared" si="14"/>
        <v>1</v>
      </c>
      <c r="T55" s="9" t="str">
        <f t="shared" si="14"/>
        <v/>
      </c>
      <c r="U55" s="11" t="str">
        <f t="shared" si="14"/>
        <v/>
      </c>
    </row>
    <row r="56">
      <c r="A56" s="47"/>
      <c r="B56" s="47"/>
      <c r="C56" s="42">
        <f t="shared" si="4"/>
        <v>4</v>
      </c>
      <c r="D56" s="9" t="str">
        <f t="shared" ref="D56:I56" si="15">if($C12&gt;$C$47,D12,"")</f>
        <v>3.OA.A.2</v>
      </c>
      <c r="E56" s="114" t="str">
        <f t="shared" si="15"/>
        <v>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v>
      </c>
      <c r="F56" s="115" t="b">
        <f t="shared" si="15"/>
        <v>1</v>
      </c>
      <c r="G56" s="115" t="b">
        <f t="shared" si="15"/>
        <v>1</v>
      </c>
      <c r="H56" s="115" t="b">
        <f t="shared" si="15"/>
        <v>1</v>
      </c>
      <c r="I56" s="115" t="b">
        <f t="shared" si="15"/>
        <v>1</v>
      </c>
      <c r="J56" s="9"/>
      <c r="K56" s="114" t="str">
        <f t="shared" si="6"/>
        <v/>
      </c>
      <c r="L56" s="120" t="b">
        <v>1</v>
      </c>
      <c r="M56" s="9">
        <f t="shared" ref="M56:U56" si="16">if($L56=TRUE,C56,"")</f>
        <v>4</v>
      </c>
      <c r="N56" s="9" t="str">
        <f t="shared" si="16"/>
        <v>3.OA.A.2</v>
      </c>
      <c r="O56" s="9" t="str">
        <f t="shared" si="16"/>
        <v>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v>
      </c>
      <c r="P56" s="9" t="b">
        <f t="shared" si="16"/>
        <v>1</v>
      </c>
      <c r="Q56" s="9" t="b">
        <f t="shared" si="16"/>
        <v>1</v>
      </c>
      <c r="R56" s="9" t="b">
        <f t="shared" si="16"/>
        <v>1</v>
      </c>
      <c r="S56" s="9" t="b">
        <f t="shared" si="16"/>
        <v>1</v>
      </c>
      <c r="T56" s="9" t="str">
        <f t="shared" si="16"/>
        <v/>
      </c>
      <c r="U56" s="11" t="str">
        <f t="shared" si="16"/>
        <v/>
      </c>
    </row>
    <row r="57">
      <c r="A57" s="47"/>
      <c r="B57" s="47"/>
      <c r="C57" s="42">
        <f t="shared" si="4"/>
        <v>4</v>
      </c>
      <c r="D57" s="9" t="str">
        <f t="shared" ref="D57:I57" si="17">if($C13&gt;$C$47,D13,"")</f>
        <v>3.OA.A.3</v>
      </c>
      <c r="E57" s="114" t="str">
        <f t="shared" si="17"/>
        <v>Use multiplication and division within 100 to solve word problems in situations involving equal groups, arrays, and measurement quantities, e.g., by using drawings and equations with a symbol for the unknown number to represent the problem.</v>
      </c>
      <c r="F57" s="115" t="b">
        <f t="shared" si="17"/>
        <v>1</v>
      </c>
      <c r="G57" s="115" t="b">
        <f t="shared" si="17"/>
        <v>1</v>
      </c>
      <c r="H57" s="115" t="b">
        <f t="shared" si="17"/>
        <v>1</v>
      </c>
      <c r="I57" s="115" t="b">
        <f t="shared" si="17"/>
        <v>1</v>
      </c>
      <c r="J57" s="9"/>
      <c r="K57" s="114" t="str">
        <f t="shared" si="6"/>
        <v>It will be assessed through DOK 3 question types based on skills (multiplication and division)</v>
      </c>
      <c r="L57" s="120" t="b">
        <v>0</v>
      </c>
      <c r="M57" s="9" t="str">
        <f t="shared" ref="M57:U57" si="18">if($L57=TRUE,C57,"")</f>
        <v/>
      </c>
      <c r="N57" s="9" t="str">
        <f t="shared" si="18"/>
        <v/>
      </c>
      <c r="O57" s="9" t="str">
        <f t="shared" si="18"/>
        <v/>
      </c>
      <c r="P57" s="9" t="str">
        <f t="shared" si="18"/>
        <v/>
      </c>
      <c r="Q57" s="9" t="str">
        <f t="shared" si="18"/>
        <v/>
      </c>
      <c r="R57" s="9" t="str">
        <f t="shared" si="18"/>
        <v/>
      </c>
      <c r="S57" s="9" t="str">
        <f t="shared" si="18"/>
        <v/>
      </c>
      <c r="T57" s="9" t="str">
        <f t="shared" si="18"/>
        <v/>
      </c>
      <c r="U57" s="11" t="str">
        <f t="shared" si="18"/>
        <v/>
      </c>
    </row>
    <row r="58">
      <c r="A58" s="47"/>
      <c r="B58" s="50"/>
      <c r="C58" s="35">
        <f t="shared" si="4"/>
        <v>4</v>
      </c>
      <c r="D58" s="9" t="str">
        <f t="shared" ref="D58:I58" si="19">if($C14&gt;$C$47,D14,"")</f>
        <v>3.OA.A.4</v>
      </c>
      <c r="E58" s="114" t="str">
        <f t="shared" si="19"/>
        <v>Determine the unknown whole number in a multiplication or division equation relating three whole numbers. For example, determine the unknown number that makes the equation true in each of the equations 8 × ? = 48, 5 = _ ÷ 3, 6 × 6 = ?</v>
      </c>
      <c r="F58" s="115" t="b">
        <f t="shared" si="19"/>
        <v>1</v>
      </c>
      <c r="G58" s="115" t="b">
        <f t="shared" si="19"/>
        <v>1</v>
      </c>
      <c r="H58" s="115" t="b">
        <f t="shared" si="19"/>
        <v>1</v>
      </c>
      <c r="I58" s="115" t="b">
        <f t="shared" si="19"/>
        <v>1</v>
      </c>
      <c r="J58" s="9"/>
      <c r="K58" s="114" t="str">
        <f t="shared" si="6"/>
        <v/>
      </c>
      <c r="L58" s="121" t="b">
        <v>0</v>
      </c>
      <c r="M58" s="9" t="str">
        <f t="shared" ref="M58:U58" si="20">if($L58=TRUE,C58,"")</f>
        <v/>
      </c>
      <c r="N58" s="9" t="str">
        <f t="shared" si="20"/>
        <v/>
      </c>
      <c r="O58" s="9" t="str">
        <f t="shared" si="20"/>
        <v/>
      </c>
      <c r="P58" s="9" t="str">
        <f t="shared" si="20"/>
        <v/>
      </c>
      <c r="Q58" s="9" t="str">
        <f t="shared" si="20"/>
        <v/>
      </c>
      <c r="R58" s="9" t="str">
        <f t="shared" si="20"/>
        <v/>
      </c>
      <c r="S58" s="9" t="str">
        <f t="shared" si="20"/>
        <v/>
      </c>
      <c r="T58" s="9" t="str">
        <f t="shared" si="20"/>
        <v/>
      </c>
      <c r="U58" s="11" t="str">
        <f t="shared" si="20"/>
        <v/>
      </c>
    </row>
    <row r="59">
      <c r="A59" s="47"/>
      <c r="B59" s="59" t="s">
        <v>310</v>
      </c>
      <c r="C59" s="42">
        <f t="shared" si="4"/>
        <v>4</v>
      </c>
      <c r="D59" s="9" t="str">
        <f t="shared" ref="D59:I59" si="21">if($C15&gt;$C$47,D15,"")</f>
        <v>3.OA.B.5</v>
      </c>
      <c r="E59" s="114" t="str">
        <f t="shared" si="21"/>
        <v>Apply properties of operations as strategies to multiply and divide. Examples: If 6 × 4 = 24 is known, then 4 × 6 = 24 is also known. (Commutative property of multiplication.) 3 × 5 × 2 can be found by 3 × 5 = 15, then 15 × 2 = 30, or by 5 × 2 = 10, then 3 × 10 = 30. (Associative property of multiplication.) Knowing that 8 × 5 = 40 and 8 × 2 = 16, one can find 8 × 7 as 8 × (5 + 2) = (8 × 5) + (8 × 2) = 40 + 16 = 56. (Distributive property.)</v>
      </c>
      <c r="F59" s="115" t="b">
        <f t="shared" si="21"/>
        <v>1</v>
      </c>
      <c r="G59" s="115" t="b">
        <f t="shared" si="21"/>
        <v>1</v>
      </c>
      <c r="H59" s="115" t="b">
        <f t="shared" si="21"/>
        <v>1</v>
      </c>
      <c r="I59" s="115" t="b">
        <f t="shared" si="21"/>
        <v>1</v>
      </c>
      <c r="J59" s="9"/>
      <c r="K59" s="114" t="str">
        <f t="shared" si="6"/>
        <v/>
      </c>
      <c r="L59" s="120" t="b">
        <v>1</v>
      </c>
      <c r="M59" s="9">
        <f t="shared" ref="M59:U59" si="22">if($L59=TRUE,C59,"")</f>
        <v>4</v>
      </c>
      <c r="N59" s="9" t="str">
        <f t="shared" si="22"/>
        <v>3.OA.B.5</v>
      </c>
      <c r="O59" s="9" t="str">
        <f t="shared" si="22"/>
        <v>Apply properties of operations as strategies to multiply and divide. Examples: If 6 × 4 = 24 is known, then 4 × 6 = 24 is also known. (Commutative property of multiplication.) 3 × 5 × 2 can be found by 3 × 5 = 15, then 15 × 2 = 30, or by 5 × 2 = 10, then 3 × 10 = 30. (Associative property of multiplication.) Knowing that 8 × 5 = 40 and 8 × 2 = 16, one can find 8 × 7 as 8 × (5 + 2) = (8 × 5) + (8 × 2) = 40 + 16 = 56. (Distributive property.)</v>
      </c>
      <c r="P59" s="9" t="b">
        <f t="shared" si="22"/>
        <v>1</v>
      </c>
      <c r="Q59" s="9" t="b">
        <f t="shared" si="22"/>
        <v>1</v>
      </c>
      <c r="R59" s="9" t="b">
        <f t="shared" si="22"/>
        <v>1</v>
      </c>
      <c r="S59" s="9" t="b">
        <f t="shared" si="22"/>
        <v>1</v>
      </c>
      <c r="T59" s="9" t="str">
        <f t="shared" si="22"/>
        <v/>
      </c>
      <c r="U59" s="11" t="str">
        <f t="shared" si="22"/>
        <v/>
      </c>
    </row>
    <row r="60">
      <c r="A60" s="47"/>
      <c r="B60" s="50"/>
      <c r="C60" s="35">
        <f t="shared" si="4"/>
        <v>3</v>
      </c>
      <c r="D60" s="9" t="str">
        <f t="shared" ref="D60:I60" si="23">if($C16&gt;$C$47,D16,"")</f>
        <v>3.OA.B.6</v>
      </c>
      <c r="E60" s="114" t="str">
        <f t="shared" si="23"/>
        <v>Understand division as an unknownfactor problem. For example, find 32 ÷ 8 by finding the number that makes 32 when multiplied by 8.</v>
      </c>
      <c r="F60" s="115" t="b">
        <f t="shared" si="23"/>
        <v>1</v>
      </c>
      <c r="G60" s="115" t="b">
        <f t="shared" si="23"/>
        <v>0</v>
      </c>
      <c r="H60" s="115" t="b">
        <f t="shared" si="23"/>
        <v>1</v>
      </c>
      <c r="I60" s="115" t="b">
        <f t="shared" si="23"/>
        <v>1</v>
      </c>
      <c r="J60" s="9"/>
      <c r="K60" s="114" t="str">
        <f t="shared" si="6"/>
        <v/>
      </c>
      <c r="L60" s="121" t="b">
        <v>0</v>
      </c>
      <c r="M60" s="9" t="str">
        <f t="shared" ref="M60:U60" si="24">if($L60=TRUE,C60,"")</f>
        <v/>
      </c>
      <c r="N60" s="9" t="str">
        <f t="shared" si="24"/>
        <v/>
      </c>
      <c r="O60" s="9" t="str">
        <f t="shared" si="24"/>
        <v/>
      </c>
      <c r="P60" s="9" t="str">
        <f t="shared" si="24"/>
        <v/>
      </c>
      <c r="Q60" s="9" t="str">
        <f t="shared" si="24"/>
        <v/>
      </c>
      <c r="R60" s="9" t="str">
        <f t="shared" si="24"/>
        <v/>
      </c>
      <c r="S60" s="9" t="str">
        <f t="shared" si="24"/>
        <v/>
      </c>
      <c r="T60" s="9" t="str">
        <f t="shared" si="24"/>
        <v/>
      </c>
      <c r="U60" s="11" t="str">
        <f t="shared" si="24"/>
        <v/>
      </c>
    </row>
    <row r="61">
      <c r="A61" s="47"/>
      <c r="B61" s="156" t="s">
        <v>324</v>
      </c>
      <c r="C61" s="35">
        <f t="shared" si="4"/>
        <v>4</v>
      </c>
      <c r="D61" s="9" t="str">
        <f t="shared" ref="D61:I61" si="25">if($C17&gt;$C$47,D17,"")</f>
        <v>3.OA.C.7</v>
      </c>
      <c r="E61" s="114" t="str">
        <f t="shared" si="25"/>
        <v>Fluently multiply and divide within 100, using strategies such as the relationship between multiplication and division (e.g., knowing that 8 × 5 = 40, one knows 40 ÷ 5 = 8) or properties of operations. By the end of Grade 3, know from memory all products of two one-digit numbers.</v>
      </c>
      <c r="F61" s="115" t="b">
        <f t="shared" si="25"/>
        <v>1</v>
      </c>
      <c r="G61" s="115" t="b">
        <f t="shared" si="25"/>
        <v>1</v>
      </c>
      <c r="H61" s="115" t="b">
        <f t="shared" si="25"/>
        <v>1</v>
      </c>
      <c r="I61" s="115" t="b">
        <f t="shared" si="25"/>
        <v>1</v>
      </c>
      <c r="J61" s="9"/>
      <c r="K61" s="114" t="str">
        <f t="shared" si="6"/>
        <v/>
      </c>
      <c r="L61" s="120" t="b">
        <v>1</v>
      </c>
      <c r="M61" s="9">
        <f t="shared" ref="M61:U61" si="26">if($L61=TRUE,C61,"")</f>
        <v>4</v>
      </c>
      <c r="N61" s="9" t="str">
        <f t="shared" si="26"/>
        <v>3.OA.C.7</v>
      </c>
      <c r="O61" s="9" t="str">
        <f t="shared" si="26"/>
        <v>Fluently multiply and divide within 100, using strategies such as the relationship between multiplication and division (e.g., knowing that 8 × 5 = 40, one knows 40 ÷ 5 = 8) or properties of operations. By the end of Grade 3, know from memory all products of two one-digit numbers.</v>
      </c>
      <c r="P61" s="9" t="b">
        <f t="shared" si="26"/>
        <v>1</v>
      </c>
      <c r="Q61" s="9" t="b">
        <f t="shared" si="26"/>
        <v>1</v>
      </c>
      <c r="R61" s="9" t="b">
        <f t="shared" si="26"/>
        <v>1</v>
      </c>
      <c r="S61" s="9" t="b">
        <f t="shared" si="26"/>
        <v>1</v>
      </c>
      <c r="T61" s="9" t="str">
        <f t="shared" si="26"/>
        <v/>
      </c>
      <c r="U61" s="11" t="str">
        <f t="shared" si="26"/>
        <v/>
      </c>
    </row>
    <row r="62">
      <c r="A62" s="47"/>
      <c r="B62" s="159" t="s">
        <v>369</v>
      </c>
      <c r="C62" s="42">
        <f t="shared" si="4"/>
        <v>3</v>
      </c>
      <c r="D62" s="9" t="str">
        <f t="shared" ref="D62:I62" si="27">if($C18&gt;$C$47,D18,"")</f>
        <v>3.OA.D.8</v>
      </c>
      <c r="E62" s="114" t="str">
        <f t="shared" si="27"/>
        <v>Solve problems involving the four operations, and identify and explain patterns in arithmetic.</v>
      </c>
      <c r="F62" s="115" t="b">
        <f t="shared" si="27"/>
        <v>1</v>
      </c>
      <c r="G62" s="115" t="b">
        <f t="shared" si="27"/>
        <v>1</v>
      </c>
      <c r="H62" s="115" t="b">
        <f t="shared" si="27"/>
        <v>0</v>
      </c>
      <c r="I62" s="115" t="b">
        <f t="shared" si="27"/>
        <v>1</v>
      </c>
      <c r="J62" s="9"/>
      <c r="K62" s="114" t="str">
        <f t="shared" si="6"/>
        <v>-Include explanations in DOK 3 assessment questions
-Division is not a heavy emphasis</v>
      </c>
      <c r="L62" s="121" t="b">
        <v>0</v>
      </c>
      <c r="M62" s="9" t="str">
        <f t="shared" ref="M62:U62" si="28">if($L62=TRUE,C62,"")</f>
        <v/>
      </c>
      <c r="N62" s="9" t="str">
        <f t="shared" si="28"/>
        <v/>
      </c>
      <c r="O62" s="9" t="str">
        <f t="shared" si="28"/>
        <v/>
      </c>
      <c r="P62" s="9" t="str">
        <f t="shared" si="28"/>
        <v/>
      </c>
      <c r="Q62" s="9" t="str">
        <f t="shared" si="28"/>
        <v/>
      </c>
      <c r="R62" s="9" t="str">
        <f t="shared" si="28"/>
        <v/>
      </c>
      <c r="S62" s="9" t="str">
        <f t="shared" si="28"/>
        <v/>
      </c>
      <c r="T62" s="9" t="str">
        <f t="shared" si="28"/>
        <v/>
      </c>
      <c r="U62" s="11" t="str">
        <f t="shared" si="28"/>
        <v/>
      </c>
    </row>
    <row r="63">
      <c r="A63" s="50"/>
      <c r="B63" s="50"/>
      <c r="C63" s="35">
        <f t="shared" si="4"/>
        <v>3</v>
      </c>
      <c r="D63" s="9" t="str">
        <f t="shared" ref="D63:I63" si="29">if($C19&gt;$C$47,D19,"")</f>
        <v>3.OA.D.9</v>
      </c>
      <c r="E63" s="114" t="str">
        <f t="shared" si="29"/>
        <v>Identify arithmetic patterns (including patterns in the addition table or multiplication table), and explain them using properties of operations. For example, observe that 4 times a number is always even, and explain why 4 times a number can be decomposed into two equal addends</v>
      </c>
      <c r="F63" s="115" t="b">
        <f t="shared" si="29"/>
        <v>1</v>
      </c>
      <c r="G63" s="115" t="b">
        <f t="shared" si="29"/>
        <v>0</v>
      </c>
      <c r="H63" s="115" t="b">
        <f t="shared" si="29"/>
        <v>1</v>
      </c>
      <c r="I63" s="115" t="b">
        <f t="shared" si="29"/>
        <v>1</v>
      </c>
      <c r="J63" s="9"/>
      <c r="K63" s="114" t="str">
        <f t="shared" si="6"/>
        <v/>
      </c>
      <c r="L63" s="120" t="b">
        <v>1</v>
      </c>
      <c r="M63" s="9">
        <f t="shared" ref="M63:U63" si="30">if($L63=TRUE,C63,"")</f>
        <v>3</v>
      </c>
      <c r="N63" s="9" t="str">
        <f t="shared" si="30"/>
        <v>3.OA.D.9</v>
      </c>
      <c r="O63" s="9" t="str">
        <f t="shared" si="30"/>
        <v>Identify arithmetic patterns (including patterns in the addition table or multiplication table), and explain them using properties of operations. For example, observe that 4 times a number is always even, and explain why 4 times a number can be decomposed into two equal addends</v>
      </c>
      <c r="P63" s="9" t="b">
        <f t="shared" si="30"/>
        <v>1</v>
      </c>
      <c r="Q63" s="9" t="b">
        <f t="shared" si="30"/>
        <v>0</v>
      </c>
      <c r="R63" s="9" t="b">
        <f t="shared" si="30"/>
        <v>1</v>
      </c>
      <c r="S63" s="9" t="b">
        <f t="shared" si="30"/>
        <v>1</v>
      </c>
      <c r="T63" s="9" t="str">
        <f t="shared" si="30"/>
        <v/>
      </c>
      <c r="U63" s="11" t="str">
        <f t="shared" si="30"/>
        <v/>
      </c>
    </row>
    <row r="64">
      <c r="A64" s="85" t="s">
        <v>90</v>
      </c>
      <c r="B64" s="84" t="s">
        <v>95</v>
      </c>
      <c r="C64" s="42">
        <f t="shared" si="4"/>
        <v>3</v>
      </c>
      <c r="D64" s="9" t="str">
        <f t="shared" ref="D64:I64" si="31">if($C20&gt;$C$47,D20,"")</f>
        <v>3.G.A.1</v>
      </c>
      <c r="E64" s="114" t="str">
        <f t="shared" si="31"/>
        <v>Understand that shapes in different categories (e.g., rhombuses, rectangles, and others) may share attributes (e.g., having four sides), and that the shared attributes can define a larger category (e.g., quadrilaterals). Recognize rhombuses, rectangles, and squares as examples of quadrilaterals, and draw examples of quadrilaterals that do not belong to any of these subcategories.</v>
      </c>
      <c r="F64" s="115" t="b">
        <f t="shared" si="31"/>
        <v>1</v>
      </c>
      <c r="G64" s="115" t="b">
        <f t="shared" si="31"/>
        <v>1</v>
      </c>
      <c r="H64" s="115" t="b">
        <f t="shared" si="31"/>
        <v>1</v>
      </c>
      <c r="I64" s="115" t="b">
        <f t="shared" si="31"/>
        <v>0</v>
      </c>
      <c r="J64" s="9"/>
      <c r="K64" s="114" t="str">
        <f t="shared" si="6"/>
        <v/>
      </c>
      <c r="L64" s="120" t="b">
        <v>1</v>
      </c>
      <c r="M64" s="9">
        <f t="shared" ref="M64:U64" si="32">if($L64=TRUE,C64,"")</f>
        <v>3</v>
      </c>
      <c r="N64" s="9" t="str">
        <f t="shared" si="32"/>
        <v>3.G.A.1</v>
      </c>
      <c r="O64" s="9" t="str">
        <f t="shared" si="32"/>
        <v>Understand that shapes in different categories (e.g., rhombuses, rectangles, and others) may share attributes (e.g., having four sides), and that the shared attributes can define a larger category (e.g., quadrilaterals). Recognize rhombuses, rectangles, and squares as examples of quadrilaterals, and draw examples of quadrilaterals that do not belong to any of these subcategories.</v>
      </c>
      <c r="P64" s="9" t="b">
        <f t="shared" si="32"/>
        <v>1</v>
      </c>
      <c r="Q64" s="9" t="b">
        <f t="shared" si="32"/>
        <v>1</v>
      </c>
      <c r="R64" s="9" t="b">
        <f t="shared" si="32"/>
        <v>1</v>
      </c>
      <c r="S64" s="9" t="b">
        <f t="shared" si="32"/>
        <v>0</v>
      </c>
      <c r="T64" s="9" t="str">
        <f t="shared" si="32"/>
        <v/>
      </c>
      <c r="U64" s="11" t="str">
        <f t="shared" si="32"/>
        <v/>
      </c>
    </row>
    <row r="65">
      <c r="A65" s="50"/>
      <c r="B65" s="50"/>
      <c r="C65" s="35">
        <f t="shared" si="4"/>
        <v>4</v>
      </c>
      <c r="D65" s="9" t="str">
        <f t="shared" ref="D65:I65" si="33">if($C21&gt;$C$47,D21,"")</f>
        <v>3.G.A.2</v>
      </c>
      <c r="E65" s="114" t="str">
        <f t="shared" si="33"/>
        <v>Partition shapes into parts with equal areas. Express the area of each part as a unit fraction of the whole. For example, partition a shape into 4 parts with equal area, and describe the area of each part as 1/4 of the area of the shape.</v>
      </c>
      <c r="F65" s="115" t="b">
        <f t="shared" si="33"/>
        <v>1</v>
      </c>
      <c r="G65" s="115" t="b">
        <f t="shared" si="33"/>
        <v>1</v>
      </c>
      <c r="H65" s="115" t="b">
        <f t="shared" si="33"/>
        <v>1</v>
      </c>
      <c r="I65" s="115" t="b">
        <f t="shared" si="33"/>
        <v>1</v>
      </c>
      <c r="J65" s="9"/>
      <c r="K65" s="114" t="str">
        <f t="shared" si="6"/>
        <v/>
      </c>
      <c r="L65" s="120" t="b">
        <v>1</v>
      </c>
      <c r="M65" s="9">
        <f t="shared" ref="M65:U65" si="34">if($L65=TRUE,C65,"")</f>
        <v>4</v>
      </c>
      <c r="N65" s="9" t="str">
        <f t="shared" si="34"/>
        <v>3.G.A.2</v>
      </c>
      <c r="O65" s="9" t="str">
        <f t="shared" si="34"/>
        <v>Partition shapes into parts with equal areas. Express the area of each part as a unit fraction of the whole. For example, partition a shape into 4 parts with equal area, and describe the area of each part as 1/4 of the area of the shape.</v>
      </c>
      <c r="P65" s="9" t="b">
        <f t="shared" si="34"/>
        <v>1</v>
      </c>
      <c r="Q65" s="9" t="b">
        <f t="shared" si="34"/>
        <v>1</v>
      </c>
      <c r="R65" s="9" t="b">
        <f t="shared" si="34"/>
        <v>1</v>
      </c>
      <c r="S65" s="9" t="b">
        <f t="shared" si="34"/>
        <v>1</v>
      </c>
      <c r="T65" s="9" t="str">
        <f t="shared" si="34"/>
        <v/>
      </c>
      <c r="U65" s="11" t="str">
        <f t="shared" si="34"/>
        <v/>
      </c>
    </row>
    <row r="66">
      <c r="A66" s="94" t="s">
        <v>124</v>
      </c>
      <c r="B66" s="110" t="s">
        <v>405</v>
      </c>
      <c r="C66" s="42">
        <f t="shared" si="4"/>
        <v>3</v>
      </c>
      <c r="D66" s="9" t="str">
        <f t="shared" ref="D66:I66" si="35">if($C22&gt;$C$47,D22,"")</f>
        <v>3.MD.A.1</v>
      </c>
      <c r="E66" s="114" t="str">
        <f t="shared" si="35"/>
        <v>Tell and write time to the nearest minute and measure time intervals in minutes. Solve word problems involving addition and subtraction of time intervals in minutes, e.g., by representing the problem on a number line diagram.</v>
      </c>
      <c r="F66" s="115" t="b">
        <f t="shared" si="35"/>
        <v>0</v>
      </c>
      <c r="G66" s="115" t="b">
        <f t="shared" si="35"/>
        <v>1</v>
      </c>
      <c r="H66" s="115" t="b">
        <f t="shared" si="35"/>
        <v>1</v>
      </c>
      <c r="I66" s="115" t="b">
        <f t="shared" si="35"/>
        <v>1</v>
      </c>
      <c r="J66" s="9"/>
      <c r="K66" s="114" t="str">
        <f t="shared" si="6"/>
        <v>E - Real world
A - Likely
L - Science</v>
      </c>
      <c r="L66" s="120" t="b">
        <v>1</v>
      </c>
      <c r="M66" s="9">
        <f t="shared" ref="M66:U66" si="36">if($L66=TRUE,C66,"")</f>
        <v>3</v>
      </c>
      <c r="N66" s="9" t="str">
        <f t="shared" si="36"/>
        <v>3.MD.A.1</v>
      </c>
      <c r="O66" s="9" t="str">
        <f t="shared" si="36"/>
        <v>Tell and write time to the nearest minute and measure time intervals in minutes. Solve word problems involving addition and subtraction of time intervals in minutes, e.g., by representing the problem on a number line diagram.</v>
      </c>
      <c r="P66" s="9" t="b">
        <f t="shared" si="36"/>
        <v>0</v>
      </c>
      <c r="Q66" s="9" t="b">
        <f t="shared" si="36"/>
        <v>1</v>
      </c>
      <c r="R66" s="9" t="b">
        <f t="shared" si="36"/>
        <v>1</v>
      </c>
      <c r="S66" s="9" t="b">
        <f t="shared" si="36"/>
        <v>1</v>
      </c>
      <c r="T66" s="9" t="str">
        <f t="shared" si="36"/>
        <v/>
      </c>
      <c r="U66" s="11" t="str">
        <f t="shared" si="36"/>
        <v>E - Real world
A - Likely
L - Science</v>
      </c>
    </row>
    <row r="67">
      <c r="A67" s="47"/>
      <c r="B67" s="50"/>
      <c r="C67" s="35">
        <f t="shared" si="4"/>
        <v>4</v>
      </c>
      <c r="D67" s="9" t="str">
        <f t="shared" ref="D67:I67" si="37">if($C23&gt;$C$47,D23,"")</f>
        <v>3.MD.A.2</v>
      </c>
      <c r="E67" s="114" t="str">
        <f t="shared" si="37"/>
        <v>Measure and estimate liquid volumes and masses of objects using standard units of grams (g), kilograms (kg), and liters (l). Add, subtract, multiply, or divide to solve one-step word problems involving masses or volumes that are given in the same units, e.g., by using drawings (such as a beaker with a measurement scale) to represent the problem</v>
      </c>
      <c r="F67" s="115" t="b">
        <f t="shared" si="37"/>
        <v>1</v>
      </c>
      <c r="G67" s="115" t="b">
        <f t="shared" si="37"/>
        <v>1</v>
      </c>
      <c r="H67" s="115" t="b">
        <f t="shared" si="37"/>
        <v>1</v>
      </c>
      <c r="I67" s="115" t="b">
        <f t="shared" si="37"/>
        <v>1</v>
      </c>
      <c r="J67" s="9"/>
      <c r="K67" s="114" t="str">
        <f t="shared" si="6"/>
        <v>Taught within Science</v>
      </c>
      <c r="L67" s="121" t="b">
        <v>0</v>
      </c>
      <c r="M67" s="9" t="str">
        <f t="shared" ref="M67:U67" si="38">if($L67=TRUE,C67,"")</f>
        <v/>
      </c>
      <c r="N67" s="9" t="str">
        <f t="shared" si="38"/>
        <v/>
      </c>
      <c r="O67" s="9" t="str">
        <f t="shared" si="38"/>
        <v/>
      </c>
      <c r="P67" s="9" t="str">
        <f t="shared" si="38"/>
        <v/>
      </c>
      <c r="Q67" s="9" t="str">
        <f t="shared" si="38"/>
        <v/>
      </c>
      <c r="R67" s="9" t="str">
        <f t="shared" si="38"/>
        <v/>
      </c>
      <c r="S67" s="9" t="str">
        <f t="shared" si="38"/>
        <v/>
      </c>
      <c r="T67" s="9" t="str">
        <f t="shared" si="38"/>
        <v/>
      </c>
      <c r="U67" s="11" t="str">
        <f t="shared" si="38"/>
        <v/>
      </c>
    </row>
    <row r="68">
      <c r="A68" s="47"/>
      <c r="B68" s="91" t="s">
        <v>157</v>
      </c>
      <c r="C68" s="42">
        <f t="shared" si="4"/>
        <v>4</v>
      </c>
      <c r="D68" s="9" t="str">
        <f t="shared" ref="D68:I68" si="39">if($C24&gt;$C$47,D24,"")</f>
        <v>3.MD.B.3</v>
      </c>
      <c r="E68" s="114" t="str">
        <f t="shared" si="39"/>
        <v>Draw a scaled picture graph and a scaled bar graph to represent a data set with several categories. Solve oneand two-step “how many more” and “how many less” problems using information presented in scaled bar graphs. For example, draw a bar graph in which each square in the bar graph might represent 5 pets.</v>
      </c>
      <c r="F68" s="115" t="b">
        <f t="shared" si="39"/>
        <v>1</v>
      </c>
      <c r="G68" s="115" t="b">
        <f t="shared" si="39"/>
        <v>1</v>
      </c>
      <c r="H68" s="115" t="b">
        <f t="shared" si="39"/>
        <v>1</v>
      </c>
      <c r="I68" s="115" t="b">
        <f t="shared" si="39"/>
        <v>1</v>
      </c>
      <c r="J68" s="9"/>
      <c r="K68" s="114" t="str">
        <f t="shared" si="6"/>
        <v>Taught within Science
-Graphing!</v>
      </c>
      <c r="L68" s="121" t="b">
        <v>0</v>
      </c>
      <c r="M68" s="9" t="str">
        <f t="shared" ref="M68:U68" si="40">if($L68=TRUE,C68,"")</f>
        <v/>
      </c>
      <c r="N68" s="9" t="str">
        <f t="shared" si="40"/>
        <v/>
      </c>
      <c r="O68" s="9" t="str">
        <f t="shared" si="40"/>
        <v/>
      </c>
      <c r="P68" s="9" t="str">
        <f t="shared" si="40"/>
        <v/>
      </c>
      <c r="Q68" s="9" t="str">
        <f t="shared" si="40"/>
        <v/>
      </c>
      <c r="R68" s="9" t="str">
        <f t="shared" si="40"/>
        <v/>
      </c>
      <c r="S68" s="9" t="str">
        <f t="shared" si="40"/>
        <v/>
      </c>
      <c r="T68" s="9" t="str">
        <f t="shared" si="40"/>
        <v/>
      </c>
      <c r="U68" s="11" t="str">
        <f t="shared" si="40"/>
        <v/>
      </c>
    </row>
    <row r="69">
      <c r="A69" s="47"/>
      <c r="B69" s="50"/>
      <c r="C69" s="35">
        <f t="shared" si="4"/>
        <v>4</v>
      </c>
      <c r="D69" s="9" t="str">
        <f t="shared" ref="D69:I69" si="41">if($C25&gt;$C$47,D25,"")</f>
        <v>3.MD.B.4</v>
      </c>
      <c r="E69" s="114" t="str">
        <f t="shared" si="41"/>
        <v>Generate measurement data by measuring lengths using rulers marked with halves and fourths of an inch. Show the data by making a line plot, where the horizontal scale is marked off in appropriate units— whole numbers, halves, or quarters.</v>
      </c>
      <c r="F69" s="115" t="b">
        <f t="shared" si="41"/>
        <v>1</v>
      </c>
      <c r="G69" s="115" t="b">
        <f t="shared" si="41"/>
        <v>1</v>
      </c>
      <c r="H69" s="115" t="b">
        <f t="shared" si="41"/>
        <v>1</v>
      </c>
      <c r="I69" s="115" t="b">
        <f t="shared" si="41"/>
        <v>1</v>
      </c>
      <c r="J69" s="9"/>
      <c r="K69" s="114" t="str">
        <f t="shared" si="6"/>
        <v>Science</v>
      </c>
      <c r="L69" s="120" t="b">
        <v>0</v>
      </c>
      <c r="M69" s="9" t="str">
        <f t="shared" ref="M69:U69" si="42">if($L69=TRUE,C69,"")</f>
        <v/>
      </c>
      <c r="N69" s="9" t="str">
        <f t="shared" si="42"/>
        <v/>
      </c>
      <c r="O69" s="9" t="str">
        <f t="shared" si="42"/>
        <v/>
      </c>
      <c r="P69" s="9" t="str">
        <f t="shared" si="42"/>
        <v/>
      </c>
      <c r="Q69" s="9" t="str">
        <f t="shared" si="42"/>
        <v/>
      </c>
      <c r="R69" s="9" t="str">
        <f t="shared" si="42"/>
        <v/>
      </c>
      <c r="S69" s="9" t="str">
        <f t="shared" si="42"/>
        <v/>
      </c>
      <c r="T69" s="9" t="str">
        <f t="shared" si="42"/>
        <v/>
      </c>
      <c r="U69" s="11" t="str">
        <f t="shared" si="42"/>
        <v/>
      </c>
    </row>
    <row r="70">
      <c r="A70" s="47"/>
      <c r="B70" s="117" t="s">
        <v>436</v>
      </c>
      <c r="C70" s="42">
        <f t="shared" si="4"/>
        <v>3</v>
      </c>
      <c r="D70" s="9" t="str">
        <f t="shared" ref="D70:I70" si="43">if($C26&gt;$C$47,D26,"")</f>
        <v>3.MD.C.5</v>
      </c>
      <c r="E70" s="114" t="str">
        <f t="shared" si="43"/>
        <v>Recognize area as an attribute of plane figures and understand concepts of area measurement.</v>
      </c>
      <c r="F70" s="115" t="b">
        <f t="shared" si="43"/>
        <v>1</v>
      </c>
      <c r="G70" s="115" t="b">
        <f t="shared" si="43"/>
        <v>0</v>
      </c>
      <c r="H70" s="115" t="b">
        <f t="shared" si="43"/>
        <v>1</v>
      </c>
      <c r="I70" s="115" t="b">
        <f t="shared" si="43"/>
        <v>1</v>
      </c>
      <c r="J70" s="9"/>
      <c r="K70" s="114" t="str">
        <f t="shared" si="6"/>
        <v/>
      </c>
      <c r="L70" s="121" t="b">
        <v>0</v>
      </c>
      <c r="M70" s="9" t="str">
        <f t="shared" ref="M70:U70" si="44">if($L70=TRUE,C70,"")</f>
        <v/>
      </c>
      <c r="N70" s="9" t="str">
        <f t="shared" si="44"/>
        <v/>
      </c>
      <c r="O70" s="9" t="str">
        <f t="shared" si="44"/>
        <v/>
      </c>
      <c r="P70" s="9" t="str">
        <f t="shared" si="44"/>
        <v/>
      </c>
      <c r="Q70" s="9" t="str">
        <f t="shared" si="44"/>
        <v/>
      </c>
      <c r="R70" s="9" t="str">
        <f t="shared" si="44"/>
        <v/>
      </c>
      <c r="S70" s="9" t="str">
        <f t="shared" si="44"/>
        <v/>
      </c>
      <c r="T70" s="9" t="str">
        <f t="shared" si="44"/>
        <v/>
      </c>
      <c r="U70" s="11" t="str">
        <f t="shared" si="44"/>
        <v/>
      </c>
    </row>
    <row r="71">
      <c r="A71" s="47"/>
      <c r="B71" s="47"/>
      <c r="C71" s="42">
        <f t="shared" si="4"/>
        <v>0</v>
      </c>
      <c r="D71" s="9" t="str">
        <f t="shared" ref="D71:I71" si="45">if($C27&gt;$C$47,D27,"")</f>
        <v/>
      </c>
      <c r="E71" s="114" t="str">
        <f t="shared" si="45"/>
        <v/>
      </c>
      <c r="F71" s="115" t="str">
        <f t="shared" si="45"/>
        <v/>
      </c>
      <c r="G71" s="115" t="str">
        <f t="shared" si="45"/>
        <v/>
      </c>
      <c r="H71" s="115" t="str">
        <f t="shared" si="45"/>
        <v/>
      </c>
      <c r="I71" s="115" t="str">
        <f t="shared" si="45"/>
        <v/>
      </c>
      <c r="J71" s="9"/>
      <c r="K71" s="114" t="str">
        <f t="shared" si="6"/>
        <v/>
      </c>
      <c r="L71" s="121" t="b">
        <v>0</v>
      </c>
      <c r="M71" s="9" t="str">
        <f t="shared" ref="M71:U71" si="46">if($L71=TRUE,C71,"")</f>
        <v/>
      </c>
      <c r="N71" s="9" t="str">
        <f t="shared" si="46"/>
        <v/>
      </c>
      <c r="O71" s="9" t="str">
        <f t="shared" si="46"/>
        <v/>
      </c>
      <c r="P71" s="9" t="str">
        <f t="shared" si="46"/>
        <v/>
      </c>
      <c r="Q71" s="9" t="str">
        <f t="shared" si="46"/>
        <v/>
      </c>
      <c r="R71" s="9" t="str">
        <f t="shared" si="46"/>
        <v/>
      </c>
      <c r="S71" s="9" t="str">
        <f t="shared" si="46"/>
        <v/>
      </c>
      <c r="T71" s="9" t="str">
        <f t="shared" si="46"/>
        <v/>
      </c>
      <c r="U71" s="11" t="str">
        <f t="shared" si="46"/>
        <v/>
      </c>
    </row>
    <row r="72">
      <c r="A72" s="47"/>
      <c r="B72" s="47"/>
      <c r="C72" s="42">
        <f t="shared" si="4"/>
        <v>0</v>
      </c>
      <c r="D72" s="9" t="str">
        <f t="shared" ref="D72:I72" si="47">if($C28&gt;$C$47,D28,"")</f>
        <v/>
      </c>
      <c r="E72" s="114" t="str">
        <f t="shared" si="47"/>
        <v/>
      </c>
      <c r="F72" s="115" t="str">
        <f t="shared" si="47"/>
        <v/>
      </c>
      <c r="G72" s="115" t="str">
        <f t="shared" si="47"/>
        <v/>
      </c>
      <c r="H72" s="115" t="str">
        <f t="shared" si="47"/>
        <v/>
      </c>
      <c r="I72" s="115" t="str">
        <f t="shared" si="47"/>
        <v/>
      </c>
      <c r="J72" s="9"/>
      <c r="K72" s="114" t="str">
        <f t="shared" si="6"/>
        <v/>
      </c>
      <c r="L72" s="121" t="b">
        <v>0</v>
      </c>
      <c r="M72" s="9" t="str">
        <f t="shared" ref="M72:U72" si="48">if($L72=TRUE,C72,"")</f>
        <v/>
      </c>
      <c r="N72" s="9" t="str">
        <f t="shared" si="48"/>
        <v/>
      </c>
      <c r="O72" s="9" t="str">
        <f t="shared" si="48"/>
        <v/>
      </c>
      <c r="P72" s="9" t="str">
        <f t="shared" si="48"/>
        <v/>
      </c>
      <c r="Q72" s="9" t="str">
        <f t="shared" si="48"/>
        <v/>
      </c>
      <c r="R72" s="9" t="str">
        <f t="shared" si="48"/>
        <v/>
      </c>
      <c r="S72" s="9" t="str">
        <f t="shared" si="48"/>
        <v/>
      </c>
      <c r="T72" s="9" t="str">
        <f t="shared" si="48"/>
        <v/>
      </c>
      <c r="U72" s="11" t="str">
        <f t="shared" si="48"/>
        <v/>
      </c>
    </row>
    <row r="73">
      <c r="A73" s="47"/>
      <c r="B73" s="47"/>
      <c r="C73" s="42">
        <f t="shared" si="4"/>
        <v>0</v>
      </c>
      <c r="D73" s="9" t="str">
        <f t="shared" ref="D73:I73" si="49">if($C29&gt;$C$47,D29,"")</f>
        <v/>
      </c>
      <c r="E73" s="114" t="str">
        <f t="shared" si="49"/>
        <v/>
      </c>
      <c r="F73" s="115" t="str">
        <f t="shared" si="49"/>
        <v/>
      </c>
      <c r="G73" s="115" t="str">
        <f t="shared" si="49"/>
        <v/>
      </c>
      <c r="H73" s="115" t="str">
        <f t="shared" si="49"/>
        <v/>
      </c>
      <c r="I73" s="115" t="str">
        <f t="shared" si="49"/>
        <v/>
      </c>
      <c r="J73" s="9"/>
      <c r="K73" s="114" t="str">
        <f t="shared" si="6"/>
        <v/>
      </c>
      <c r="L73" s="121" t="b">
        <v>0</v>
      </c>
      <c r="M73" s="9" t="str">
        <f t="shared" ref="M73:U73" si="50">if($L73=TRUE,C73,"")</f>
        <v/>
      </c>
      <c r="N73" s="9" t="str">
        <f t="shared" si="50"/>
        <v/>
      </c>
      <c r="O73" s="9" t="str">
        <f t="shared" si="50"/>
        <v/>
      </c>
      <c r="P73" s="9" t="str">
        <f t="shared" si="50"/>
        <v/>
      </c>
      <c r="Q73" s="9" t="str">
        <f t="shared" si="50"/>
        <v/>
      </c>
      <c r="R73" s="9" t="str">
        <f t="shared" si="50"/>
        <v/>
      </c>
      <c r="S73" s="9" t="str">
        <f t="shared" si="50"/>
        <v/>
      </c>
      <c r="T73" s="9" t="str">
        <f t="shared" si="50"/>
        <v/>
      </c>
      <c r="U73" s="11" t="str">
        <f t="shared" si="50"/>
        <v/>
      </c>
    </row>
    <row r="74">
      <c r="A74" s="47"/>
      <c r="B74" s="47"/>
      <c r="C74" s="42">
        <f t="shared" si="4"/>
        <v>0</v>
      </c>
      <c r="D74" s="9" t="str">
        <f t="shared" ref="D74:I74" si="51">if($C30&gt;$C$47,D30,"")</f>
        <v/>
      </c>
      <c r="E74" s="114" t="str">
        <f t="shared" si="51"/>
        <v/>
      </c>
      <c r="F74" s="115" t="str">
        <f t="shared" si="51"/>
        <v/>
      </c>
      <c r="G74" s="115" t="str">
        <f t="shared" si="51"/>
        <v/>
      </c>
      <c r="H74" s="115" t="str">
        <f t="shared" si="51"/>
        <v/>
      </c>
      <c r="I74" s="115" t="str">
        <f t="shared" si="51"/>
        <v/>
      </c>
      <c r="J74" s="9"/>
      <c r="K74" s="114" t="str">
        <f t="shared" si="6"/>
        <v/>
      </c>
      <c r="L74" s="121" t="b">
        <v>0</v>
      </c>
      <c r="M74" s="9" t="str">
        <f t="shared" ref="M74:U74" si="52">if($L74=TRUE,C74,"")</f>
        <v/>
      </c>
      <c r="N74" s="9" t="str">
        <f t="shared" si="52"/>
        <v/>
      </c>
      <c r="O74" s="9" t="str">
        <f t="shared" si="52"/>
        <v/>
      </c>
      <c r="P74" s="9" t="str">
        <f t="shared" si="52"/>
        <v/>
      </c>
      <c r="Q74" s="9" t="str">
        <f t="shared" si="52"/>
        <v/>
      </c>
      <c r="R74" s="9" t="str">
        <f t="shared" si="52"/>
        <v/>
      </c>
      <c r="S74" s="9" t="str">
        <f t="shared" si="52"/>
        <v/>
      </c>
      <c r="T74" s="9" t="str">
        <f t="shared" si="52"/>
        <v/>
      </c>
      <c r="U74" s="11" t="str">
        <f t="shared" si="52"/>
        <v/>
      </c>
    </row>
    <row r="75">
      <c r="A75" s="47"/>
      <c r="B75" s="47"/>
      <c r="C75" s="42">
        <f t="shared" si="4"/>
        <v>0</v>
      </c>
      <c r="D75" s="9" t="str">
        <f t="shared" ref="D75:I75" si="53">if($C31&gt;$C$47,D31,"")</f>
        <v/>
      </c>
      <c r="E75" s="114" t="str">
        <f t="shared" si="53"/>
        <v/>
      </c>
      <c r="F75" s="115" t="str">
        <f t="shared" si="53"/>
        <v/>
      </c>
      <c r="G75" s="115" t="str">
        <f t="shared" si="53"/>
        <v/>
      </c>
      <c r="H75" s="115" t="str">
        <f t="shared" si="53"/>
        <v/>
      </c>
      <c r="I75" s="115" t="str">
        <f t="shared" si="53"/>
        <v/>
      </c>
      <c r="J75" s="9"/>
      <c r="K75" s="114" t="str">
        <f t="shared" si="6"/>
        <v/>
      </c>
      <c r="L75" s="121" t="b">
        <v>0</v>
      </c>
      <c r="M75" s="9" t="str">
        <f t="shared" ref="M75:U75" si="54">if($L75=TRUE,C75,"")</f>
        <v/>
      </c>
      <c r="N75" s="9" t="str">
        <f t="shared" si="54"/>
        <v/>
      </c>
      <c r="O75" s="9" t="str">
        <f t="shared" si="54"/>
        <v/>
      </c>
      <c r="P75" s="9" t="str">
        <f t="shared" si="54"/>
        <v/>
      </c>
      <c r="Q75" s="9" t="str">
        <f t="shared" si="54"/>
        <v/>
      </c>
      <c r="R75" s="9" t="str">
        <f t="shared" si="54"/>
        <v/>
      </c>
      <c r="S75" s="9" t="str">
        <f t="shared" si="54"/>
        <v/>
      </c>
      <c r="T75" s="9" t="str">
        <f t="shared" si="54"/>
        <v/>
      </c>
      <c r="U75" s="11" t="str">
        <f t="shared" si="54"/>
        <v/>
      </c>
    </row>
    <row r="76">
      <c r="A76" s="47"/>
      <c r="B76" s="47"/>
      <c r="C76" s="42">
        <f t="shared" si="4"/>
        <v>4</v>
      </c>
      <c r="D76" s="9" t="str">
        <f t="shared" ref="D76:I76" si="55">if($C32&gt;$C$47,D32,"")</f>
        <v>3.MD.C.7b</v>
      </c>
      <c r="E76" s="114" t="str">
        <f t="shared" si="55"/>
        <v>Multiply side lengths to find areas of rectangles with whole-number side lengths in the context of solving real world and mathematical problems, and represent whole-number products as rectangular areas in mathematical reasoning.</v>
      </c>
      <c r="F76" s="115" t="b">
        <f t="shared" si="55"/>
        <v>1</v>
      </c>
      <c r="G76" s="115" t="b">
        <f t="shared" si="55"/>
        <v>1</v>
      </c>
      <c r="H76" s="115" t="b">
        <f t="shared" si="55"/>
        <v>1</v>
      </c>
      <c r="I76" s="115" t="b">
        <f t="shared" si="55"/>
        <v>1</v>
      </c>
      <c r="J76" s="9"/>
      <c r="K76" s="114" t="str">
        <f t="shared" si="6"/>
        <v/>
      </c>
      <c r="L76" s="172" t="b">
        <v>1</v>
      </c>
      <c r="M76" s="9">
        <f t="shared" ref="M76:U76" si="56">if($L76=TRUE,C76,"")</f>
        <v>4</v>
      </c>
      <c r="N76" s="9" t="str">
        <f t="shared" si="56"/>
        <v>3.MD.C.7b</v>
      </c>
      <c r="O76" s="9" t="str">
        <f t="shared" si="56"/>
        <v>Multiply side lengths to find areas of rectangles with whole-number side lengths in the context of solving real world and mathematical problems, and represent whole-number products as rectangular areas in mathematical reasoning.</v>
      </c>
      <c r="P76" s="9" t="b">
        <f t="shared" si="56"/>
        <v>1</v>
      </c>
      <c r="Q76" s="9" t="b">
        <f t="shared" si="56"/>
        <v>1</v>
      </c>
      <c r="R76" s="9" t="b">
        <f t="shared" si="56"/>
        <v>1</v>
      </c>
      <c r="S76" s="9" t="b">
        <f t="shared" si="56"/>
        <v>1</v>
      </c>
      <c r="T76" s="9" t="str">
        <f t="shared" si="56"/>
        <v/>
      </c>
      <c r="U76" s="11" t="str">
        <f t="shared" si="56"/>
        <v/>
      </c>
    </row>
    <row r="77">
      <c r="A77" s="47"/>
      <c r="B77" s="47"/>
      <c r="C77" s="42">
        <f t="shared" si="4"/>
        <v>0</v>
      </c>
      <c r="D77" s="9" t="str">
        <f t="shared" ref="D77:I77" si="57">if($C33&gt;$C$47,D33,"")</f>
        <v/>
      </c>
      <c r="E77" s="114" t="str">
        <f t="shared" si="57"/>
        <v/>
      </c>
      <c r="F77" s="115" t="str">
        <f t="shared" si="57"/>
        <v/>
      </c>
      <c r="G77" s="115" t="str">
        <f t="shared" si="57"/>
        <v/>
      </c>
      <c r="H77" s="115" t="str">
        <f t="shared" si="57"/>
        <v/>
      </c>
      <c r="I77" s="115" t="str">
        <f t="shared" si="57"/>
        <v/>
      </c>
      <c r="J77" s="9"/>
      <c r="K77" s="114" t="str">
        <f t="shared" si="6"/>
        <v/>
      </c>
      <c r="L77" s="173" t="b">
        <v>0</v>
      </c>
      <c r="M77" s="9" t="str">
        <f t="shared" ref="M77:U77" si="58">if($L77=TRUE,C77,"")</f>
        <v/>
      </c>
      <c r="N77" s="9" t="str">
        <f t="shared" si="58"/>
        <v/>
      </c>
      <c r="O77" s="9" t="str">
        <f t="shared" si="58"/>
        <v/>
      </c>
      <c r="P77" s="9" t="str">
        <f t="shared" si="58"/>
        <v/>
      </c>
      <c r="Q77" s="9" t="str">
        <f t="shared" si="58"/>
        <v/>
      </c>
      <c r="R77" s="9" t="str">
        <f t="shared" si="58"/>
        <v/>
      </c>
      <c r="S77" s="9" t="str">
        <f t="shared" si="58"/>
        <v/>
      </c>
      <c r="T77" s="9" t="str">
        <f t="shared" si="58"/>
        <v/>
      </c>
      <c r="U77" s="11" t="str">
        <f t="shared" si="58"/>
        <v/>
      </c>
    </row>
    <row r="78">
      <c r="A78" s="47"/>
      <c r="B78" s="50"/>
      <c r="C78" s="35">
        <f t="shared" si="4"/>
        <v>4</v>
      </c>
      <c r="D78" s="9" t="str">
        <f t="shared" ref="D78:I78" si="59">if($C34&gt;$C$47,D34,"")</f>
        <v>3.MD.C.7d</v>
      </c>
      <c r="E78" s="114" t="str">
        <f t="shared" si="59"/>
        <v>Recognize area as additive. Find areas of rectilinear figures by decomposing them into nonoverlapping rectangles and adding the areas of the non-overlapping parts, applying this technique to solve real world problems.</v>
      </c>
      <c r="F78" s="115" t="b">
        <f t="shared" si="59"/>
        <v>1</v>
      </c>
      <c r="G78" s="115" t="b">
        <f t="shared" si="59"/>
        <v>1</v>
      </c>
      <c r="H78" s="115" t="b">
        <f t="shared" si="59"/>
        <v>1</v>
      </c>
      <c r="I78" s="115" t="b">
        <f t="shared" si="59"/>
        <v>1</v>
      </c>
      <c r="J78" s="9"/>
      <c r="K78" s="114" t="str">
        <f t="shared" si="6"/>
        <v/>
      </c>
      <c r="L78" s="173" t="b">
        <v>0</v>
      </c>
      <c r="M78" s="9" t="str">
        <f t="shared" ref="M78:U78" si="60">if($L78=TRUE,C78,"")</f>
        <v/>
      </c>
      <c r="N78" s="9" t="str">
        <f t="shared" si="60"/>
        <v/>
      </c>
      <c r="O78" s="9" t="str">
        <f t="shared" si="60"/>
        <v/>
      </c>
      <c r="P78" s="9" t="str">
        <f t="shared" si="60"/>
        <v/>
      </c>
      <c r="Q78" s="9" t="str">
        <f t="shared" si="60"/>
        <v/>
      </c>
      <c r="R78" s="9" t="str">
        <f t="shared" si="60"/>
        <v/>
      </c>
      <c r="S78" s="9" t="str">
        <f t="shared" si="60"/>
        <v/>
      </c>
      <c r="T78" s="9" t="str">
        <f t="shared" si="60"/>
        <v/>
      </c>
      <c r="U78" s="11" t="str">
        <f t="shared" si="60"/>
        <v/>
      </c>
    </row>
    <row r="79">
      <c r="A79" s="50"/>
      <c r="B79" s="95" t="s">
        <v>487</v>
      </c>
      <c r="C79" s="35">
        <f t="shared" si="4"/>
        <v>0</v>
      </c>
      <c r="D79" s="9" t="str">
        <f t="shared" ref="D79:I79" si="61">if($C35&gt;$C$47,D35,"")</f>
        <v/>
      </c>
      <c r="E79" s="114" t="str">
        <f t="shared" si="61"/>
        <v/>
      </c>
      <c r="F79" s="115" t="str">
        <f t="shared" si="61"/>
        <v/>
      </c>
      <c r="G79" s="115" t="str">
        <f t="shared" si="61"/>
        <v/>
      </c>
      <c r="H79" s="115" t="str">
        <f t="shared" si="61"/>
        <v/>
      </c>
      <c r="I79" s="115" t="str">
        <f t="shared" si="61"/>
        <v/>
      </c>
      <c r="J79" s="9"/>
      <c r="K79" s="114" t="str">
        <f t="shared" si="6"/>
        <v/>
      </c>
      <c r="L79" s="173" t="b">
        <v>0</v>
      </c>
      <c r="M79" s="9" t="str">
        <f t="shared" ref="M79:U79" si="62">if($L79=TRUE,C79,"")</f>
        <v/>
      </c>
      <c r="N79" s="9" t="str">
        <f t="shared" si="62"/>
        <v/>
      </c>
      <c r="O79" s="9" t="str">
        <f t="shared" si="62"/>
        <v/>
      </c>
      <c r="P79" s="9" t="str">
        <f t="shared" si="62"/>
        <v/>
      </c>
      <c r="Q79" s="9" t="str">
        <f t="shared" si="62"/>
        <v/>
      </c>
      <c r="R79" s="9" t="str">
        <f t="shared" si="62"/>
        <v/>
      </c>
      <c r="S79" s="9" t="str">
        <f t="shared" si="62"/>
        <v/>
      </c>
      <c r="T79" s="9" t="str">
        <f t="shared" si="62"/>
        <v/>
      </c>
      <c r="U79" s="11" t="str">
        <f t="shared" si="62"/>
        <v/>
      </c>
    </row>
    <row r="80">
      <c r="A80" s="161" t="s">
        <v>458</v>
      </c>
      <c r="B80" s="162" t="s">
        <v>495</v>
      </c>
      <c r="C80" s="42">
        <f t="shared" si="4"/>
        <v>4</v>
      </c>
      <c r="D80" s="9" t="str">
        <f t="shared" ref="D80:I80" si="63">if($C36&gt;$C$47,D36,"")</f>
        <v>3.NF.A.1</v>
      </c>
      <c r="E80" s="114" t="str">
        <f t="shared" si="63"/>
        <v>Understand a fraction 1/b as the quantity formed by 1 part when a whole is partitioned into b equal parts; understand a fraction a/b as the quantity formed by a parts of size 1/b.</v>
      </c>
      <c r="F80" s="115" t="b">
        <f t="shared" si="63"/>
        <v>1</v>
      </c>
      <c r="G80" s="115" t="b">
        <f t="shared" si="63"/>
        <v>1</v>
      </c>
      <c r="H80" s="115" t="b">
        <f t="shared" si="63"/>
        <v>1</v>
      </c>
      <c r="I80" s="115" t="b">
        <f t="shared" si="63"/>
        <v>1</v>
      </c>
      <c r="J80" s="9"/>
      <c r="K80" s="114" t="str">
        <f t="shared" si="6"/>
        <v/>
      </c>
      <c r="L80" s="172" t="b">
        <v>1</v>
      </c>
      <c r="M80" s="9">
        <f t="shared" ref="M80:U80" si="64">if($L80=TRUE,C80,"")</f>
        <v>4</v>
      </c>
      <c r="N80" s="9" t="str">
        <f t="shared" si="64"/>
        <v>3.NF.A.1</v>
      </c>
      <c r="O80" s="9" t="str">
        <f t="shared" si="64"/>
        <v>Understand a fraction 1/b as the quantity formed by 1 part when a whole is partitioned into b equal parts; understand a fraction a/b as the quantity formed by a parts of size 1/b.</v>
      </c>
      <c r="P80" s="9" t="b">
        <f t="shared" si="64"/>
        <v>1</v>
      </c>
      <c r="Q80" s="9" t="b">
        <f t="shared" si="64"/>
        <v>1</v>
      </c>
      <c r="R80" s="9" t="b">
        <f t="shared" si="64"/>
        <v>1</v>
      </c>
      <c r="S80" s="9" t="b">
        <f t="shared" si="64"/>
        <v>1</v>
      </c>
      <c r="T80" s="9" t="str">
        <f t="shared" si="64"/>
        <v/>
      </c>
      <c r="U80" s="11" t="str">
        <f t="shared" si="64"/>
        <v/>
      </c>
    </row>
    <row r="81">
      <c r="A81" s="47"/>
      <c r="B81" s="47"/>
      <c r="C81" s="42">
        <f t="shared" si="4"/>
        <v>0</v>
      </c>
      <c r="D81" s="9" t="str">
        <f t="shared" ref="D81:I81" si="65">if($C37&gt;$C$47,D37,"")</f>
        <v/>
      </c>
      <c r="E81" s="114" t="str">
        <f t="shared" si="65"/>
        <v/>
      </c>
      <c r="F81" s="115" t="str">
        <f t="shared" si="65"/>
        <v/>
      </c>
      <c r="G81" s="115" t="str">
        <f t="shared" si="65"/>
        <v/>
      </c>
      <c r="H81" s="115" t="str">
        <f t="shared" si="65"/>
        <v/>
      </c>
      <c r="I81" s="115" t="str">
        <f t="shared" si="65"/>
        <v/>
      </c>
      <c r="J81" s="9"/>
      <c r="K81" s="114" t="str">
        <f t="shared" si="6"/>
        <v/>
      </c>
      <c r="L81" s="173" t="b">
        <v>0</v>
      </c>
      <c r="M81" s="9" t="str">
        <f t="shared" ref="M81:U81" si="66">if($L81=TRUE,C81,"")</f>
        <v/>
      </c>
      <c r="N81" s="9" t="str">
        <f t="shared" si="66"/>
        <v/>
      </c>
      <c r="O81" s="9" t="str">
        <f t="shared" si="66"/>
        <v/>
      </c>
      <c r="P81" s="9" t="str">
        <f t="shared" si="66"/>
        <v/>
      </c>
      <c r="Q81" s="9" t="str">
        <f t="shared" si="66"/>
        <v/>
      </c>
      <c r="R81" s="9" t="str">
        <f t="shared" si="66"/>
        <v/>
      </c>
      <c r="S81" s="9" t="str">
        <f t="shared" si="66"/>
        <v/>
      </c>
      <c r="T81" s="9" t="str">
        <f t="shared" si="66"/>
        <v/>
      </c>
      <c r="U81" s="11" t="str">
        <f t="shared" si="66"/>
        <v/>
      </c>
    </row>
    <row r="82">
      <c r="A82" s="47"/>
      <c r="B82" s="47"/>
      <c r="C82" s="42">
        <f t="shared" si="4"/>
        <v>0</v>
      </c>
      <c r="D82" s="9" t="str">
        <f t="shared" ref="D82:I82" si="67">if($C38&gt;$C$47,D38,"")</f>
        <v/>
      </c>
      <c r="E82" s="114" t="str">
        <f t="shared" si="67"/>
        <v/>
      </c>
      <c r="F82" s="115" t="str">
        <f t="shared" si="67"/>
        <v/>
      </c>
      <c r="G82" s="115" t="str">
        <f t="shared" si="67"/>
        <v/>
      </c>
      <c r="H82" s="115" t="str">
        <f t="shared" si="67"/>
        <v/>
      </c>
      <c r="I82" s="115" t="str">
        <f t="shared" si="67"/>
        <v/>
      </c>
      <c r="J82" s="9"/>
      <c r="K82" s="114" t="str">
        <f t="shared" si="6"/>
        <v/>
      </c>
      <c r="L82" s="173" t="b">
        <v>0</v>
      </c>
      <c r="M82" s="9" t="str">
        <f t="shared" ref="M82:U82" si="68">if($L82=TRUE,C82,"")</f>
        <v/>
      </c>
      <c r="N82" s="9" t="str">
        <f t="shared" si="68"/>
        <v/>
      </c>
      <c r="O82" s="9" t="str">
        <f t="shared" si="68"/>
        <v/>
      </c>
      <c r="P82" s="9" t="str">
        <f t="shared" si="68"/>
        <v/>
      </c>
      <c r="Q82" s="9" t="str">
        <f t="shared" si="68"/>
        <v/>
      </c>
      <c r="R82" s="9" t="str">
        <f t="shared" si="68"/>
        <v/>
      </c>
      <c r="S82" s="9" t="str">
        <f t="shared" si="68"/>
        <v/>
      </c>
      <c r="T82" s="9" t="str">
        <f t="shared" si="68"/>
        <v/>
      </c>
      <c r="U82" s="11" t="str">
        <f t="shared" si="68"/>
        <v/>
      </c>
    </row>
    <row r="83">
      <c r="A83" s="47"/>
      <c r="B83" s="47"/>
      <c r="C83" s="42">
        <f t="shared" si="4"/>
        <v>0</v>
      </c>
      <c r="D83" s="9" t="str">
        <f t="shared" ref="D83:I83" si="69">if($C39&gt;$C$47,D39,"")</f>
        <v/>
      </c>
      <c r="E83" s="114" t="str">
        <f t="shared" si="69"/>
        <v/>
      </c>
      <c r="F83" s="115" t="str">
        <f t="shared" si="69"/>
        <v/>
      </c>
      <c r="G83" s="115" t="str">
        <f t="shared" si="69"/>
        <v/>
      </c>
      <c r="H83" s="115" t="str">
        <f t="shared" si="69"/>
        <v/>
      </c>
      <c r="I83" s="115" t="str">
        <f t="shared" si="69"/>
        <v/>
      </c>
      <c r="J83" s="9"/>
      <c r="K83" s="114" t="str">
        <f t="shared" si="6"/>
        <v/>
      </c>
      <c r="L83" s="173" t="b">
        <v>0</v>
      </c>
      <c r="M83" s="9" t="str">
        <f t="shared" ref="M83:U83" si="70">if($L83=TRUE,C83,"")</f>
        <v/>
      </c>
      <c r="N83" s="9" t="str">
        <f t="shared" si="70"/>
        <v/>
      </c>
      <c r="O83" s="9" t="str">
        <f t="shared" si="70"/>
        <v/>
      </c>
      <c r="P83" s="9" t="str">
        <f t="shared" si="70"/>
        <v/>
      </c>
      <c r="Q83" s="9" t="str">
        <f t="shared" si="70"/>
        <v/>
      </c>
      <c r="R83" s="9" t="str">
        <f t="shared" si="70"/>
        <v/>
      </c>
      <c r="S83" s="9" t="str">
        <f t="shared" si="70"/>
        <v/>
      </c>
      <c r="T83" s="9" t="str">
        <f t="shared" si="70"/>
        <v/>
      </c>
      <c r="U83" s="11" t="str">
        <f t="shared" si="70"/>
        <v/>
      </c>
    </row>
    <row r="84">
      <c r="A84" s="47"/>
      <c r="B84" s="47"/>
      <c r="C84" s="42">
        <f t="shared" si="4"/>
        <v>4</v>
      </c>
      <c r="D84" s="9" t="str">
        <f t="shared" ref="D84:I84" si="71">if($C40&gt;$C$47,D40,"")</f>
        <v>3.NF.A.3</v>
      </c>
      <c r="E84" s="114" t="str">
        <f t="shared" si="71"/>
        <v>Explain equivalence of fractions in special cases, and compare fractions by reasoning about their size.</v>
      </c>
      <c r="F84" s="115" t="b">
        <f t="shared" si="71"/>
        <v>1</v>
      </c>
      <c r="G84" s="115" t="b">
        <f t="shared" si="71"/>
        <v>1</v>
      </c>
      <c r="H84" s="115" t="b">
        <f t="shared" si="71"/>
        <v>1</v>
      </c>
      <c r="I84" s="115" t="b">
        <f t="shared" si="71"/>
        <v>1</v>
      </c>
      <c r="J84" s="9"/>
      <c r="K84" s="114" t="str">
        <f t="shared" si="6"/>
        <v>Addressed in 3a-3d</v>
      </c>
      <c r="L84" s="173" t="b">
        <v>0</v>
      </c>
      <c r="M84" s="9" t="str">
        <f t="shared" ref="M84:U84" si="72">if($L84=TRUE,C84,"")</f>
        <v/>
      </c>
      <c r="N84" s="9" t="str">
        <f t="shared" si="72"/>
        <v/>
      </c>
      <c r="O84" s="9" t="str">
        <f t="shared" si="72"/>
        <v/>
      </c>
      <c r="P84" s="9" t="str">
        <f t="shared" si="72"/>
        <v/>
      </c>
      <c r="Q84" s="9" t="str">
        <f t="shared" si="72"/>
        <v/>
      </c>
      <c r="R84" s="9" t="str">
        <f t="shared" si="72"/>
        <v/>
      </c>
      <c r="S84" s="9" t="str">
        <f t="shared" si="72"/>
        <v/>
      </c>
      <c r="T84" s="9" t="str">
        <f t="shared" si="72"/>
        <v/>
      </c>
      <c r="U84" s="11" t="str">
        <f t="shared" si="72"/>
        <v/>
      </c>
    </row>
    <row r="85">
      <c r="A85" s="47"/>
      <c r="B85" s="47"/>
      <c r="C85" s="42">
        <f t="shared" si="4"/>
        <v>4</v>
      </c>
      <c r="D85" s="9" t="str">
        <f t="shared" ref="D85:I85" si="73">if($C41&gt;$C$47,D41,"")</f>
        <v>3.NF.A.3a</v>
      </c>
      <c r="E85" s="114" t="str">
        <f t="shared" si="73"/>
        <v>Understand two fractions as equivalent (equal) if they are the same size, or the same point on a number line.</v>
      </c>
      <c r="F85" s="115" t="b">
        <f t="shared" si="73"/>
        <v>1</v>
      </c>
      <c r="G85" s="115" t="b">
        <f t="shared" si="73"/>
        <v>1</v>
      </c>
      <c r="H85" s="115" t="b">
        <f t="shared" si="73"/>
        <v>1</v>
      </c>
      <c r="I85" s="115" t="b">
        <f t="shared" si="73"/>
        <v>1</v>
      </c>
      <c r="J85" s="9"/>
      <c r="K85" s="114" t="str">
        <f t="shared" si="6"/>
        <v/>
      </c>
      <c r="L85" s="172" t="b">
        <v>0</v>
      </c>
      <c r="M85" s="9" t="str">
        <f t="shared" ref="M85:U85" si="74">if($L85=TRUE,C85,"")</f>
        <v/>
      </c>
      <c r="N85" s="9" t="str">
        <f t="shared" si="74"/>
        <v/>
      </c>
      <c r="O85" s="9" t="str">
        <f t="shared" si="74"/>
        <v/>
      </c>
      <c r="P85" s="9" t="str">
        <f t="shared" si="74"/>
        <v/>
      </c>
      <c r="Q85" s="9" t="str">
        <f t="shared" si="74"/>
        <v/>
      </c>
      <c r="R85" s="9" t="str">
        <f t="shared" si="74"/>
        <v/>
      </c>
      <c r="S85" s="9" t="str">
        <f t="shared" si="74"/>
        <v/>
      </c>
      <c r="T85" s="9" t="str">
        <f t="shared" si="74"/>
        <v/>
      </c>
      <c r="U85" s="11" t="str">
        <f t="shared" si="74"/>
        <v/>
      </c>
    </row>
    <row r="86">
      <c r="A86" s="47"/>
      <c r="B86" s="47"/>
      <c r="C86" s="42">
        <f t="shared" si="4"/>
        <v>4</v>
      </c>
      <c r="D86" s="9" t="str">
        <f t="shared" ref="D86:I86" si="75">if($C42&gt;$C$47,D42,"")</f>
        <v>3.NF.A.3b</v>
      </c>
      <c r="E86" s="114" t="str">
        <f t="shared" si="75"/>
        <v>Recognize and generate simple equivalent fractions, e.g., 1/2 = 2/4, 4/6 = 2/3. Explain why the fractions are equivalent, e.g., by using a visual fraction model.</v>
      </c>
      <c r="F86" s="115" t="b">
        <f t="shared" si="75"/>
        <v>1</v>
      </c>
      <c r="G86" s="115" t="b">
        <f t="shared" si="75"/>
        <v>1</v>
      </c>
      <c r="H86" s="115" t="b">
        <f t="shared" si="75"/>
        <v>1</v>
      </c>
      <c r="I86" s="115" t="b">
        <f t="shared" si="75"/>
        <v>1</v>
      </c>
      <c r="J86" s="9"/>
      <c r="K86" s="114" t="str">
        <f t="shared" si="6"/>
        <v/>
      </c>
      <c r="L86" s="172" t="b">
        <v>1</v>
      </c>
      <c r="M86" s="9">
        <f t="shared" ref="M86:U86" si="76">if($L86=TRUE,C86,"")</f>
        <v>4</v>
      </c>
      <c r="N86" s="9" t="str">
        <f t="shared" si="76"/>
        <v>3.NF.A.3b</v>
      </c>
      <c r="O86" s="9" t="str">
        <f t="shared" si="76"/>
        <v>Recognize and generate simple equivalent fractions, e.g., 1/2 = 2/4, 4/6 = 2/3. Explain why the fractions are equivalent, e.g., by using a visual fraction model.</v>
      </c>
      <c r="P86" s="9" t="b">
        <f t="shared" si="76"/>
        <v>1</v>
      </c>
      <c r="Q86" s="9" t="b">
        <f t="shared" si="76"/>
        <v>1</v>
      </c>
      <c r="R86" s="9" t="b">
        <f t="shared" si="76"/>
        <v>1</v>
      </c>
      <c r="S86" s="9" t="b">
        <f t="shared" si="76"/>
        <v>1</v>
      </c>
      <c r="T86" s="9" t="str">
        <f t="shared" si="76"/>
        <v/>
      </c>
      <c r="U86" s="11" t="str">
        <f t="shared" si="76"/>
        <v/>
      </c>
    </row>
    <row r="87">
      <c r="A87" s="47"/>
      <c r="B87" s="47"/>
      <c r="C87" s="42">
        <f t="shared" si="4"/>
        <v>0</v>
      </c>
      <c r="D87" s="9" t="str">
        <f t="shared" ref="D87:I87" si="77">if($C43&gt;$C$47,D43,"")</f>
        <v/>
      </c>
      <c r="E87" s="114" t="str">
        <f t="shared" si="77"/>
        <v/>
      </c>
      <c r="F87" s="115" t="str">
        <f t="shared" si="77"/>
        <v/>
      </c>
      <c r="G87" s="115" t="str">
        <f t="shared" si="77"/>
        <v/>
      </c>
      <c r="H87" s="115" t="str">
        <f t="shared" si="77"/>
        <v/>
      </c>
      <c r="I87" s="115" t="str">
        <f t="shared" si="77"/>
        <v/>
      </c>
      <c r="J87" s="9"/>
      <c r="K87" s="114" t="str">
        <f t="shared" si="6"/>
        <v/>
      </c>
      <c r="L87" s="173" t="b">
        <v>0</v>
      </c>
      <c r="M87" s="9" t="str">
        <f t="shared" ref="M87:U87" si="78">if($L87=TRUE,C87,"")</f>
        <v/>
      </c>
      <c r="N87" s="9" t="str">
        <f t="shared" si="78"/>
        <v/>
      </c>
      <c r="O87" s="9" t="str">
        <f t="shared" si="78"/>
        <v/>
      </c>
      <c r="P87" s="9" t="str">
        <f t="shared" si="78"/>
        <v/>
      </c>
      <c r="Q87" s="9" t="str">
        <f t="shared" si="78"/>
        <v/>
      </c>
      <c r="R87" s="9" t="str">
        <f t="shared" si="78"/>
        <v/>
      </c>
      <c r="S87" s="9" t="str">
        <f t="shared" si="78"/>
        <v/>
      </c>
      <c r="T87" s="9" t="str">
        <f t="shared" si="78"/>
        <v/>
      </c>
      <c r="U87" s="11" t="str">
        <f t="shared" si="78"/>
        <v/>
      </c>
    </row>
    <row r="88">
      <c r="A88" s="50"/>
      <c r="B88" s="50"/>
      <c r="C88" s="42">
        <f t="shared" si="4"/>
        <v>0</v>
      </c>
      <c r="D88" s="9" t="str">
        <f t="shared" ref="D88:I88" si="79">if($C44&gt;$C$47,D44,"")</f>
        <v/>
      </c>
      <c r="E88" s="114" t="str">
        <f t="shared" si="79"/>
        <v/>
      </c>
      <c r="F88" s="115" t="str">
        <f t="shared" si="79"/>
        <v/>
      </c>
      <c r="G88" s="115" t="str">
        <f t="shared" si="79"/>
        <v/>
      </c>
      <c r="H88" s="115" t="str">
        <f t="shared" si="79"/>
        <v/>
      </c>
      <c r="I88" s="115" t="str">
        <f t="shared" si="79"/>
        <v/>
      </c>
      <c r="J88" s="9"/>
      <c r="K88" s="114" t="str">
        <f t="shared" si="6"/>
        <v/>
      </c>
      <c r="L88" s="172" t="b">
        <v>0</v>
      </c>
      <c r="M88" s="9" t="str">
        <f t="shared" ref="M88:U88" si="80">if($L88=TRUE,C88,"")</f>
        <v/>
      </c>
      <c r="N88" s="9" t="str">
        <f t="shared" si="80"/>
        <v/>
      </c>
      <c r="O88" s="9" t="str">
        <f t="shared" si="80"/>
        <v/>
      </c>
      <c r="P88" s="9" t="str">
        <f t="shared" si="80"/>
        <v/>
      </c>
      <c r="Q88" s="9" t="str">
        <f t="shared" si="80"/>
        <v/>
      </c>
      <c r="R88" s="9" t="str">
        <f t="shared" si="80"/>
        <v/>
      </c>
      <c r="S88" s="9" t="str">
        <f t="shared" si="80"/>
        <v/>
      </c>
      <c r="T88" s="9" t="str">
        <f t="shared" si="80"/>
        <v/>
      </c>
      <c r="U88" s="11" t="str">
        <f t="shared" si="80"/>
        <v/>
      </c>
    </row>
  </sheetData>
  <mergeCells count="36">
    <mergeCell ref="A2:B2"/>
    <mergeCell ref="C2:K2"/>
    <mergeCell ref="A3:K3"/>
    <mergeCell ref="A4:B4"/>
    <mergeCell ref="A5:A10"/>
    <mergeCell ref="B5:B10"/>
    <mergeCell ref="A11:A19"/>
    <mergeCell ref="B18:B19"/>
    <mergeCell ref="B36:B44"/>
    <mergeCell ref="A46:B46"/>
    <mergeCell ref="F46:G46"/>
    <mergeCell ref="A47:B47"/>
    <mergeCell ref="A48:B48"/>
    <mergeCell ref="B11:B14"/>
    <mergeCell ref="B15:B16"/>
    <mergeCell ref="A20:A21"/>
    <mergeCell ref="B20:B21"/>
    <mergeCell ref="B22:B23"/>
    <mergeCell ref="B24:B25"/>
    <mergeCell ref="B26:B34"/>
    <mergeCell ref="A55:A63"/>
    <mergeCell ref="A64:A65"/>
    <mergeCell ref="A66:A79"/>
    <mergeCell ref="A80:A88"/>
    <mergeCell ref="B64:B65"/>
    <mergeCell ref="B66:B67"/>
    <mergeCell ref="B68:B69"/>
    <mergeCell ref="B70:B78"/>
    <mergeCell ref="B80:B88"/>
    <mergeCell ref="A22:A35"/>
    <mergeCell ref="A36:A44"/>
    <mergeCell ref="A49:A51"/>
    <mergeCell ref="B49:B54"/>
    <mergeCell ref="B55:B58"/>
    <mergeCell ref="B59:B60"/>
    <mergeCell ref="B62:B63"/>
  </mergeCells>
  <conditionalFormatting sqref="D46">
    <cfRule type="expression" dxfId="0" priority="1">
      <formula>D46&lt;=K46</formula>
    </cfRule>
  </conditionalFormatting>
  <conditionalFormatting sqref="D46">
    <cfRule type="expression" dxfId="1" priority="2">
      <formula>D46&gt;K46</formula>
    </cfRule>
  </conditionalFormatting>
  <conditionalFormatting sqref="L49">
    <cfRule type="expression" dxfId="7" priority="3">
      <formula>not</formula>
    </cfRule>
  </conditionalFormatting>
  <conditionalFormatting sqref="F49:I88">
    <cfRule type="cellIs" dxfId="8" priority="4" operator="equal">
      <formula>"TRUE"</formula>
    </cfRule>
  </conditionalFormatting>
  <conditionalFormatting sqref="F49:I88">
    <cfRule type="cellIs" dxfId="9" priority="5" operator="equal">
      <formula>"FALSE"</formula>
    </cfRule>
  </conditionalFormatting>
  <conditionalFormatting sqref="C5:C44 C49:C88">
    <cfRule type="cellIs" dxfId="2" priority="6" operator="equal">
      <formula>0</formula>
    </cfRule>
  </conditionalFormatting>
  <conditionalFormatting sqref="C5:C44 C49:C88">
    <cfRule type="cellIs" dxfId="3" priority="7" operator="equal">
      <formula>1</formula>
    </cfRule>
  </conditionalFormatting>
  <conditionalFormatting sqref="C5:C44 C49:C88">
    <cfRule type="cellIs" dxfId="4" priority="8" operator="equal">
      <formula>2</formula>
    </cfRule>
  </conditionalFormatting>
  <conditionalFormatting sqref="C5:C44 C49:C88">
    <cfRule type="cellIs" dxfId="5" priority="9" operator="equal">
      <formula>3</formula>
    </cfRule>
  </conditionalFormatting>
  <conditionalFormatting sqref="C5:C44 C49:C88">
    <cfRule type="cellIs" dxfId="6" priority="10" operator="equal">
      <formula>4</formula>
    </cfRule>
  </conditionalFormatting>
  <drawing r:id="rId2"/>
  <legacy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D9EEB"/>
    <outlinePr summaryBelow="0" summaryRight="0"/>
  </sheetPr>
  <sheetViews>
    <sheetView workbookViewId="0"/>
  </sheetViews>
  <sheetFormatPr customHeight="1" defaultColWidth="14.43" defaultRowHeight="15.75" outlineLevelCol="1" outlineLevelRow="1"/>
  <cols>
    <col customWidth="1" min="1" max="1" width="5.14"/>
    <col customWidth="1" min="2" max="2" width="15.86"/>
    <col customWidth="1" min="3" max="3" width="5.14"/>
    <col customWidth="1" min="4" max="4" width="10.86"/>
    <col customWidth="1" min="5" max="5" width="57.29"/>
    <col customWidth="1" min="6" max="9" width="3.0"/>
    <col customWidth="1" min="10" max="10" width="0.86"/>
    <col customWidth="1" min="11" max="11" width="43.0"/>
    <col collapsed="1" customWidth="1" min="12" max="12" width="8.71"/>
    <col hidden="1" min="13" max="21" width="14.43" outlineLevel="1"/>
  </cols>
  <sheetData>
    <row r="1" ht="4.5" customHeight="1" collapsed="1">
      <c r="A1" s="3"/>
      <c r="B1" s="7"/>
      <c r="C1" s="7"/>
      <c r="D1" s="7"/>
      <c r="E1" s="7"/>
      <c r="F1" s="7"/>
      <c r="G1" s="7"/>
      <c r="H1" s="7"/>
      <c r="I1" s="7"/>
      <c r="J1" s="7"/>
      <c r="K1" s="7"/>
      <c r="L1" s="9"/>
      <c r="M1" s="9"/>
      <c r="N1" s="9"/>
      <c r="O1" s="9"/>
      <c r="P1" s="9"/>
      <c r="Q1" s="9"/>
      <c r="R1" s="9"/>
      <c r="S1" s="9"/>
      <c r="T1" s="9"/>
      <c r="U1" s="9"/>
    </row>
    <row r="2" hidden="1" outlineLevel="1">
      <c r="A2" s="12" t="s">
        <v>4</v>
      </c>
      <c r="B2" s="13"/>
      <c r="C2" s="24" t="s">
        <v>5</v>
      </c>
      <c r="D2" s="13"/>
      <c r="E2" s="13"/>
      <c r="F2" s="13"/>
      <c r="G2" s="13"/>
      <c r="H2" s="13"/>
      <c r="I2" s="13"/>
      <c r="J2" s="13"/>
      <c r="K2" s="13"/>
      <c r="L2" s="9"/>
      <c r="M2" s="9"/>
      <c r="N2" s="9"/>
      <c r="O2" s="9"/>
      <c r="P2" s="9"/>
      <c r="Q2" s="9"/>
      <c r="R2" s="9"/>
      <c r="S2" s="9"/>
      <c r="T2" s="9"/>
      <c r="U2" s="9"/>
    </row>
    <row r="3">
      <c r="A3" s="124" t="s">
        <v>266</v>
      </c>
      <c r="B3" s="13"/>
      <c r="C3" s="13"/>
      <c r="D3" s="13"/>
      <c r="E3" s="13"/>
      <c r="F3" s="13"/>
      <c r="G3" s="13"/>
      <c r="H3" s="13"/>
      <c r="I3" s="13"/>
      <c r="J3" s="13"/>
      <c r="K3" s="16"/>
      <c r="L3" s="87"/>
      <c r="M3" s="125"/>
      <c r="N3" s="125"/>
      <c r="O3" s="125"/>
      <c r="P3" s="125"/>
      <c r="Q3" s="125"/>
      <c r="R3" s="125"/>
      <c r="S3" s="125"/>
      <c r="T3" s="125"/>
      <c r="U3" s="125"/>
    </row>
    <row r="4" outlineLevel="1">
      <c r="A4" s="127" t="s">
        <v>7</v>
      </c>
      <c r="B4" s="16"/>
      <c r="C4" s="129" t="s">
        <v>8</v>
      </c>
      <c r="D4" s="129" t="s">
        <v>9</v>
      </c>
      <c r="E4" s="31" t="s">
        <v>10</v>
      </c>
      <c r="F4" s="130" t="s">
        <v>12</v>
      </c>
      <c r="G4" s="130" t="s">
        <v>13</v>
      </c>
      <c r="H4" s="132" t="str">
        <f>HYPERLINK("https://www.gctsd.k12.ar.us/images/testing/aspire_summative_assessment_overview.pdf","A")</f>
        <v>A</v>
      </c>
      <c r="I4" s="130" t="s">
        <v>17</v>
      </c>
      <c r="J4" s="130"/>
      <c r="K4" s="130" t="s">
        <v>18</v>
      </c>
      <c r="L4" s="87"/>
      <c r="M4" s="125"/>
      <c r="N4" s="125"/>
      <c r="O4" s="125"/>
      <c r="P4" s="125"/>
      <c r="Q4" s="125"/>
      <c r="R4" s="125"/>
      <c r="S4" s="125"/>
      <c r="T4" s="125"/>
      <c r="U4" s="125"/>
    </row>
    <row r="5" outlineLevel="1">
      <c r="A5" s="79" t="s">
        <v>19</v>
      </c>
      <c r="B5" s="123" t="s">
        <v>278</v>
      </c>
      <c r="C5" s="42">
        <f t="shared" ref="C5:C42" si="1">countif(F5:I5,TRUE)</f>
        <v>3</v>
      </c>
      <c r="D5" s="133" t="s">
        <v>281</v>
      </c>
      <c r="E5" s="87" t="s">
        <v>282</v>
      </c>
      <c r="F5" s="136" t="b">
        <v>1</v>
      </c>
      <c r="G5" s="136" t="b">
        <v>1</v>
      </c>
      <c r="H5" s="136" t="b">
        <v>1</v>
      </c>
      <c r="I5" s="136" t="b">
        <v>0</v>
      </c>
      <c r="J5" s="138"/>
      <c r="K5" s="138"/>
      <c r="L5" s="87"/>
      <c r="M5" s="125"/>
      <c r="N5" s="125"/>
      <c r="O5" s="125"/>
      <c r="P5" s="125"/>
      <c r="Q5" s="125"/>
      <c r="R5" s="125"/>
      <c r="S5" s="125"/>
      <c r="T5" s="125"/>
      <c r="U5" s="125"/>
    </row>
    <row r="6" outlineLevel="1">
      <c r="A6" s="47"/>
      <c r="B6" s="47"/>
      <c r="C6" s="42">
        <f t="shared" si="1"/>
        <v>4</v>
      </c>
      <c r="D6" s="140" t="s">
        <v>284</v>
      </c>
      <c r="E6" s="141" t="s">
        <v>287</v>
      </c>
      <c r="F6" s="136" t="b">
        <v>1</v>
      </c>
      <c r="G6" s="136" t="b">
        <v>1</v>
      </c>
      <c r="H6" s="136" t="b">
        <v>1</v>
      </c>
      <c r="I6" s="136" t="b">
        <v>1</v>
      </c>
      <c r="J6" s="138"/>
      <c r="K6" s="143" t="s">
        <v>289</v>
      </c>
      <c r="L6" s="87"/>
      <c r="M6" s="125"/>
      <c r="N6" s="125"/>
      <c r="O6" s="125"/>
      <c r="P6" s="125"/>
      <c r="Q6" s="125"/>
      <c r="R6" s="125"/>
      <c r="S6" s="125"/>
      <c r="T6" s="125"/>
      <c r="U6" s="125"/>
    </row>
    <row r="7" outlineLevel="1">
      <c r="A7" s="47"/>
      <c r="B7" s="47"/>
      <c r="C7" s="42">
        <f t="shared" si="1"/>
        <v>2</v>
      </c>
      <c r="D7" s="140" t="s">
        <v>294</v>
      </c>
      <c r="E7" s="141" t="s">
        <v>296</v>
      </c>
      <c r="F7" s="136" t="b">
        <v>1</v>
      </c>
      <c r="G7" s="146" t="b">
        <v>0</v>
      </c>
      <c r="H7" s="136" t="b">
        <v>1</v>
      </c>
      <c r="I7" s="146" t="b">
        <v>0</v>
      </c>
      <c r="J7" s="138"/>
      <c r="K7" s="138"/>
      <c r="L7" s="87"/>
      <c r="M7" s="125"/>
      <c r="N7" s="125"/>
      <c r="O7" s="125"/>
      <c r="P7" s="125"/>
      <c r="Q7" s="125"/>
      <c r="R7" s="125"/>
      <c r="S7" s="125"/>
      <c r="T7" s="125"/>
      <c r="U7" s="125"/>
    </row>
    <row r="8" outlineLevel="1">
      <c r="A8" s="47"/>
      <c r="B8" s="50"/>
      <c r="C8" s="35">
        <f t="shared" si="1"/>
        <v>1</v>
      </c>
      <c r="D8" s="148" t="s">
        <v>302</v>
      </c>
      <c r="E8" s="83" t="s">
        <v>305</v>
      </c>
      <c r="F8" s="150" t="b">
        <v>1</v>
      </c>
      <c r="G8" s="151" t="b">
        <v>0</v>
      </c>
      <c r="H8" s="151" t="b">
        <v>0</v>
      </c>
      <c r="I8" s="151" t="b">
        <v>0</v>
      </c>
      <c r="J8" s="152"/>
      <c r="K8" s="152"/>
      <c r="L8" s="87"/>
      <c r="M8" s="125"/>
      <c r="N8" s="125"/>
      <c r="O8" s="125"/>
      <c r="P8" s="125"/>
      <c r="Q8" s="125"/>
      <c r="R8" s="125"/>
      <c r="S8" s="125"/>
      <c r="T8" s="125"/>
      <c r="U8" s="125"/>
    </row>
    <row r="9" outlineLevel="1">
      <c r="A9" s="47"/>
      <c r="B9" s="41" t="s">
        <v>265</v>
      </c>
      <c r="C9" s="42">
        <f t="shared" si="1"/>
        <v>4</v>
      </c>
      <c r="D9" s="133" t="s">
        <v>316</v>
      </c>
      <c r="E9" s="87" t="s">
        <v>317</v>
      </c>
      <c r="F9" s="136" t="b">
        <v>1</v>
      </c>
      <c r="G9" s="136" t="b">
        <v>1</v>
      </c>
      <c r="H9" s="136" t="b">
        <v>1</v>
      </c>
      <c r="I9" s="136" t="b">
        <v>1</v>
      </c>
      <c r="J9" s="138"/>
      <c r="K9" s="138"/>
      <c r="L9" s="87"/>
      <c r="M9" s="125"/>
      <c r="N9" s="125"/>
      <c r="O9" s="125"/>
      <c r="P9" s="125"/>
      <c r="Q9" s="125"/>
      <c r="R9" s="125"/>
      <c r="S9" s="125"/>
      <c r="T9" s="125"/>
      <c r="U9" s="125"/>
    </row>
    <row r="10" outlineLevel="1">
      <c r="A10" s="47"/>
      <c r="B10" s="47"/>
      <c r="C10" s="42">
        <f t="shared" si="1"/>
        <v>4</v>
      </c>
      <c r="D10" s="133" t="s">
        <v>323</v>
      </c>
      <c r="E10" s="87" t="s">
        <v>325</v>
      </c>
      <c r="F10" s="136" t="b">
        <v>1</v>
      </c>
      <c r="G10" s="136" t="b">
        <v>1</v>
      </c>
      <c r="H10" s="136" t="b">
        <v>1</v>
      </c>
      <c r="I10" s="136" t="b">
        <v>1</v>
      </c>
      <c r="J10" s="138"/>
      <c r="K10" s="138"/>
      <c r="L10" s="87"/>
      <c r="M10" s="125"/>
      <c r="N10" s="125"/>
      <c r="O10" s="125"/>
      <c r="P10" s="125"/>
      <c r="Q10" s="125"/>
      <c r="R10" s="125"/>
      <c r="S10" s="125"/>
      <c r="T10" s="125"/>
      <c r="U10" s="125"/>
    </row>
    <row r="11" outlineLevel="1">
      <c r="A11" s="50"/>
      <c r="B11" s="50"/>
      <c r="C11" s="35">
        <f t="shared" si="1"/>
        <v>4</v>
      </c>
      <c r="D11" s="148" t="s">
        <v>326</v>
      </c>
      <c r="E11" s="83" t="s">
        <v>327</v>
      </c>
      <c r="F11" s="150" t="b">
        <v>1</v>
      </c>
      <c r="G11" s="150" t="b">
        <v>1</v>
      </c>
      <c r="H11" s="150" t="b">
        <v>1</v>
      </c>
      <c r="I11" s="150" t="b">
        <v>1</v>
      </c>
      <c r="J11" s="152"/>
      <c r="K11" s="152"/>
      <c r="L11" s="87"/>
      <c r="M11" s="125"/>
      <c r="N11" s="125"/>
      <c r="O11" s="125"/>
      <c r="P11" s="125"/>
      <c r="Q11" s="125"/>
      <c r="R11" s="125"/>
      <c r="S11" s="125"/>
      <c r="T11" s="125"/>
      <c r="U11" s="125"/>
    </row>
    <row r="12" outlineLevel="1">
      <c r="A12" s="66" t="s">
        <v>47</v>
      </c>
      <c r="B12" s="56" t="s">
        <v>330</v>
      </c>
      <c r="C12" s="42">
        <f t="shared" si="1"/>
        <v>3</v>
      </c>
      <c r="D12" s="133" t="s">
        <v>333</v>
      </c>
      <c r="E12" s="87" t="s">
        <v>334</v>
      </c>
      <c r="F12" s="136" t="b">
        <v>1</v>
      </c>
      <c r="G12" s="136" t="b">
        <v>1</v>
      </c>
      <c r="H12" s="136" t="b">
        <v>1</v>
      </c>
      <c r="I12" s="146" t="b">
        <v>0</v>
      </c>
      <c r="J12" s="138"/>
      <c r="K12" s="143" t="s">
        <v>335</v>
      </c>
      <c r="L12" s="87"/>
      <c r="M12" s="125"/>
      <c r="N12" s="125"/>
      <c r="O12" s="125"/>
      <c r="P12" s="125"/>
      <c r="Q12" s="125"/>
      <c r="R12" s="125"/>
      <c r="S12" s="125"/>
      <c r="T12" s="125"/>
      <c r="U12" s="125"/>
    </row>
    <row r="13" outlineLevel="1">
      <c r="A13" s="47"/>
      <c r="B13" s="47"/>
      <c r="C13" s="42">
        <f t="shared" si="1"/>
        <v>3</v>
      </c>
      <c r="D13" s="133" t="s">
        <v>337</v>
      </c>
      <c r="E13" s="87" t="s">
        <v>338</v>
      </c>
      <c r="F13" s="136" t="b">
        <v>1</v>
      </c>
      <c r="G13" s="136" t="b">
        <v>1</v>
      </c>
      <c r="H13" s="136" t="b">
        <v>1</v>
      </c>
      <c r="I13" s="136" t="b">
        <v>0</v>
      </c>
      <c r="J13" s="138"/>
      <c r="K13" s="143" t="s">
        <v>341</v>
      </c>
      <c r="L13" s="87"/>
      <c r="M13" s="125"/>
      <c r="N13" s="125"/>
      <c r="O13" s="125"/>
      <c r="P13" s="125"/>
      <c r="Q13" s="125"/>
      <c r="R13" s="125"/>
      <c r="S13" s="125"/>
      <c r="T13" s="125"/>
      <c r="U13" s="125"/>
    </row>
    <row r="14" outlineLevel="1">
      <c r="A14" s="47"/>
      <c r="B14" s="50"/>
      <c r="C14" s="35">
        <f t="shared" si="1"/>
        <v>4</v>
      </c>
      <c r="D14" s="148" t="s">
        <v>343</v>
      </c>
      <c r="E14" s="83" t="s">
        <v>344</v>
      </c>
      <c r="F14" s="150" t="b">
        <v>1</v>
      </c>
      <c r="G14" s="150" t="b">
        <v>1</v>
      </c>
      <c r="H14" s="150" t="b">
        <v>1</v>
      </c>
      <c r="I14" s="150" t="b">
        <v>1</v>
      </c>
      <c r="J14" s="152"/>
      <c r="K14" s="72" t="s">
        <v>345</v>
      </c>
      <c r="L14" s="87"/>
      <c r="M14" s="125"/>
      <c r="N14" s="125"/>
      <c r="O14" s="125"/>
      <c r="P14" s="125"/>
      <c r="Q14" s="125"/>
      <c r="R14" s="125"/>
      <c r="S14" s="125"/>
      <c r="T14" s="125"/>
      <c r="U14" s="125"/>
    </row>
    <row r="15" outlineLevel="1">
      <c r="A15" s="47"/>
      <c r="B15" s="98" t="s">
        <v>346</v>
      </c>
      <c r="C15" s="35">
        <f t="shared" si="1"/>
        <v>3</v>
      </c>
      <c r="D15" s="148" t="s">
        <v>347</v>
      </c>
      <c r="E15" s="83" t="s">
        <v>348</v>
      </c>
      <c r="F15" s="150" t="b">
        <v>1</v>
      </c>
      <c r="G15" s="150" t="b">
        <v>1</v>
      </c>
      <c r="H15" s="150" t="b">
        <v>1</v>
      </c>
      <c r="I15" s="151" t="b">
        <v>0</v>
      </c>
      <c r="J15" s="152"/>
      <c r="K15" s="72" t="s">
        <v>349</v>
      </c>
      <c r="L15" s="87"/>
      <c r="M15" s="125"/>
      <c r="N15" s="125"/>
      <c r="O15" s="125"/>
      <c r="P15" s="125"/>
      <c r="Q15" s="125"/>
      <c r="R15" s="125"/>
      <c r="S15" s="125"/>
      <c r="T15" s="125"/>
      <c r="U15" s="125"/>
    </row>
    <row r="16" outlineLevel="1">
      <c r="A16" s="50"/>
      <c r="B16" s="156" t="s">
        <v>350</v>
      </c>
      <c r="C16" s="35">
        <f t="shared" si="1"/>
        <v>2</v>
      </c>
      <c r="D16" s="148" t="s">
        <v>353</v>
      </c>
      <c r="E16" s="83" t="s">
        <v>355</v>
      </c>
      <c r="F16" s="150" t="b">
        <v>1</v>
      </c>
      <c r="G16" s="151" t="b">
        <v>0</v>
      </c>
      <c r="H16" s="150" t="b">
        <v>1</v>
      </c>
      <c r="I16" s="151" t="b">
        <v>0</v>
      </c>
      <c r="J16" s="152"/>
      <c r="K16" s="72" t="s">
        <v>356</v>
      </c>
      <c r="L16" s="87"/>
      <c r="M16" s="125"/>
      <c r="N16" s="125"/>
      <c r="O16" s="125"/>
      <c r="P16" s="125"/>
      <c r="Q16" s="125"/>
      <c r="R16" s="125"/>
      <c r="S16" s="125"/>
      <c r="T16" s="125"/>
      <c r="U16" s="125"/>
    </row>
    <row r="17" outlineLevel="1">
      <c r="A17" s="85" t="s">
        <v>90</v>
      </c>
      <c r="B17" s="84" t="s">
        <v>95</v>
      </c>
      <c r="C17" s="42">
        <f t="shared" si="1"/>
        <v>2</v>
      </c>
      <c r="D17" s="133" t="s">
        <v>358</v>
      </c>
      <c r="E17" s="87" t="s">
        <v>360</v>
      </c>
      <c r="F17" s="136" t="b">
        <v>1</v>
      </c>
      <c r="G17" s="146" t="b">
        <v>0</v>
      </c>
      <c r="H17" s="136" t="b">
        <v>1</v>
      </c>
      <c r="I17" s="146" t="b">
        <v>0</v>
      </c>
      <c r="J17" s="138"/>
      <c r="K17" s="138"/>
      <c r="L17" s="87"/>
      <c r="M17" s="125"/>
      <c r="N17" s="125"/>
      <c r="O17" s="125"/>
      <c r="P17" s="125"/>
      <c r="Q17" s="125"/>
      <c r="R17" s="125"/>
      <c r="S17" s="125"/>
      <c r="T17" s="125"/>
      <c r="U17" s="125"/>
    </row>
    <row r="18" outlineLevel="1">
      <c r="A18" s="47"/>
      <c r="B18" s="47"/>
      <c r="C18" s="42">
        <f t="shared" si="1"/>
        <v>2</v>
      </c>
      <c r="D18" s="140" t="s">
        <v>365</v>
      </c>
      <c r="E18" s="87" t="s">
        <v>366</v>
      </c>
      <c r="F18" s="136" t="b">
        <v>1</v>
      </c>
      <c r="G18" s="146" t="b">
        <v>0</v>
      </c>
      <c r="H18" s="136" t="b">
        <v>1</v>
      </c>
      <c r="I18" s="146" t="b">
        <v>0</v>
      </c>
      <c r="J18" s="138"/>
      <c r="K18" s="138"/>
      <c r="L18" s="87"/>
      <c r="M18" s="125"/>
      <c r="N18" s="125"/>
      <c r="O18" s="125"/>
      <c r="P18" s="125"/>
      <c r="Q18" s="125"/>
      <c r="R18" s="125"/>
      <c r="S18" s="125"/>
      <c r="T18" s="125"/>
      <c r="U18" s="125"/>
    </row>
    <row r="19" outlineLevel="1">
      <c r="A19" s="50"/>
      <c r="B19" s="50"/>
      <c r="C19" s="35">
        <f t="shared" si="1"/>
        <v>2</v>
      </c>
      <c r="D19" s="148" t="s">
        <v>376</v>
      </c>
      <c r="E19" s="83" t="s">
        <v>377</v>
      </c>
      <c r="F19" s="150" t="b">
        <v>1</v>
      </c>
      <c r="G19" s="151" t="b">
        <v>0</v>
      </c>
      <c r="H19" s="150" t="b">
        <v>1</v>
      </c>
      <c r="I19" s="151" t="b">
        <v>0</v>
      </c>
      <c r="J19" s="152"/>
      <c r="K19" s="72" t="s">
        <v>380</v>
      </c>
      <c r="L19" s="87"/>
      <c r="M19" s="125"/>
      <c r="N19" s="125"/>
      <c r="O19" s="125"/>
      <c r="P19" s="125"/>
      <c r="Q19" s="125"/>
      <c r="R19" s="125"/>
      <c r="S19" s="125"/>
      <c r="T19" s="125"/>
      <c r="U19" s="125"/>
    </row>
    <row r="20" outlineLevel="1">
      <c r="A20" s="94" t="s">
        <v>124</v>
      </c>
      <c r="B20" s="110" t="s">
        <v>385</v>
      </c>
      <c r="C20" s="42">
        <f t="shared" si="1"/>
        <v>4</v>
      </c>
      <c r="D20" s="133" t="s">
        <v>387</v>
      </c>
      <c r="E20" s="87" t="s">
        <v>388</v>
      </c>
      <c r="F20" s="136" t="b">
        <v>1</v>
      </c>
      <c r="G20" s="136" t="b">
        <v>1</v>
      </c>
      <c r="H20" s="136" t="b">
        <v>1</v>
      </c>
      <c r="I20" s="136" t="b">
        <v>1</v>
      </c>
      <c r="J20" s="138"/>
      <c r="K20" s="143" t="s">
        <v>389</v>
      </c>
      <c r="L20" s="87"/>
      <c r="M20" s="125"/>
      <c r="N20" s="125"/>
      <c r="O20" s="125"/>
      <c r="P20" s="125"/>
      <c r="Q20" s="125"/>
      <c r="R20" s="125"/>
      <c r="S20" s="125"/>
      <c r="T20" s="125"/>
      <c r="U20" s="125"/>
    </row>
    <row r="21" outlineLevel="1">
      <c r="A21" s="47"/>
      <c r="B21" s="47"/>
      <c r="C21" s="42">
        <f t="shared" si="1"/>
        <v>4</v>
      </c>
      <c r="D21" s="133" t="s">
        <v>394</v>
      </c>
      <c r="E21" s="87" t="s">
        <v>395</v>
      </c>
      <c r="F21" s="136" t="b">
        <v>1</v>
      </c>
      <c r="G21" s="136" t="b">
        <v>1</v>
      </c>
      <c r="H21" s="136" t="b">
        <v>1</v>
      </c>
      <c r="I21" s="136" t="b">
        <v>1</v>
      </c>
      <c r="J21" s="138"/>
      <c r="K21" s="143" t="s">
        <v>397</v>
      </c>
      <c r="L21" s="87"/>
      <c r="M21" s="125"/>
      <c r="N21" s="125"/>
      <c r="O21" s="125"/>
      <c r="P21" s="125"/>
      <c r="Q21" s="125"/>
      <c r="R21" s="125"/>
      <c r="S21" s="125"/>
      <c r="T21" s="125"/>
      <c r="U21" s="125"/>
    </row>
    <row r="22" outlineLevel="1">
      <c r="A22" s="47"/>
      <c r="B22" s="50"/>
      <c r="C22" s="35">
        <f t="shared" si="1"/>
        <v>3</v>
      </c>
      <c r="D22" s="148" t="s">
        <v>402</v>
      </c>
      <c r="E22" s="83" t="s">
        <v>403</v>
      </c>
      <c r="F22" s="150" t="b">
        <v>1</v>
      </c>
      <c r="G22" s="150" t="b">
        <v>1</v>
      </c>
      <c r="H22" s="151" t="b">
        <v>0</v>
      </c>
      <c r="I22" s="150" t="b">
        <v>1</v>
      </c>
      <c r="J22" s="152"/>
      <c r="K22" s="72" t="s">
        <v>397</v>
      </c>
      <c r="L22" s="87"/>
      <c r="M22" s="125"/>
      <c r="N22" s="125"/>
      <c r="O22" s="125"/>
      <c r="P22" s="125"/>
      <c r="Q22" s="125"/>
      <c r="R22" s="125"/>
      <c r="S22" s="125"/>
      <c r="T22" s="125"/>
      <c r="U22" s="125"/>
    </row>
    <row r="23" outlineLevel="1">
      <c r="A23" s="47"/>
      <c r="B23" s="160" t="s">
        <v>157</v>
      </c>
      <c r="C23" s="35">
        <f t="shared" si="1"/>
        <v>2</v>
      </c>
      <c r="D23" s="148" t="s">
        <v>411</v>
      </c>
      <c r="E23" s="83" t="s">
        <v>412</v>
      </c>
      <c r="F23" s="150" t="b">
        <v>0</v>
      </c>
      <c r="G23" s="150" t="b">
        <v>1</v>
      </c>
      <c r="H23" s="150" t="b">
        <v>1</v>
      </c>
      <c r="I23" s="151" t="b">
        <v>0</v>
      </c>
      <c r="J23" s="152"/>
      <c r="K23" s="72" t="s">
        <v>389</v>
      </c>
      <c r="L23" s="87"/>
      <c r="M23" s="125"/>
      <c r="N23" s="125"/>
      <c r="O23" s="125"/>
      <c r="P23" s="125"/>
      <c r="Q23" s="125"/>
      <c r="R23" s="125"/>
      <c r="S23" s="125"/>
      <c r="T23" s="125"/>
      <c r="U23" s="125"/>
    </row>
    <row r="24" outlineLevel="1">
      <c r="A24" s="47"/>
      <c r="B24" s="117" t="s">
        <v>419</v>
      </c>
      <c r="C24" s="42">
        <f t="shared" si="1"/>
        <v>1</v>
      </c>
      <c r="D24" s="133" t="s">
        <v>421</v>
      </c>
      <c r="E24" s="87" t="s">
        <v>422</v>
      </c>
      <c r="F24" s="136" t="b">
        <v>0</v>
      </c>
      <c r="G24" s="146" t="b">
        <v>0</v>
      </c>
      <c r="H24" s="136" t="b">
        <v>1</v>
      </c>
      <c r="I24" s="146" t="b">
        <v>0</v>
      </c>
      <c r="J24" s="138"/>
      <c r="K24" s="143" t="s">
        <v>427</v>
      </c>
      <c r="L24" s="87"/>
      <c r="M24" s="125"/>
      <c r="N24" s="125"/>
      <c r="O24" s="125"/>
      <c r="P24" s="125"/>
      <c r="Q24" s="125"/>
      <c r="R24" s="125"/>
      <c r="S24" s="125"/>
      <c r="T24" s="125"/>
      <c r="U24" s="125"/>
    </row>
    <row r="25" outlineLevel="1">
      <c r="A25" s="47"/>
      <c r="B25" s="47"/>
      <c r="C25" s="42">
        <f t="shared" si="1"/>
        <v>0</v>
      </c>
      <c r="D25" s="133" t="s">
        <v>432</v>
      </c>
      <c r="E25" s="87" t="s">
        <v>433</v>
      </c>
      <c r="F25" s="136" t="b">
        <v>0</v>
      </c>
      <c r="G25" s="146" t="b">
        <v>0</v>
      </c>
      <c r="H25" s="146" t="b">
        <v>0</v>
      </c>
      <c r="I25" s="146" t="b">
        <v>0</v>
      </c>
      <c r="J25" s="143"/>
      <c r="K25" s="143" t="s">
        <v>435</v>
      </c>
      <c r="L25" s="87"/>
      <c r="M25" s="125"/>
      <c r="N25" s="125"/>
      <c r="O25" s="125"/>
      <c r="P25" s="125"/>
      <c r="Q25" s="125"/>
      <c r="R25" s="125"/>
      <c r="S25" s="125"/>
      <c r="T25" s="125"/>
      <c r="U25" s="125"/>
    </row>
    <row r="26" outlineLevel="1">
      <c r="A26" s="47"/>
      <c r="B26" s="47"/>
      <c r="C26" s="42">
        <f t="shared" si="1"/>
        <v>0</v>
      </c>
      <c r="D26" s="133" t="s">
        <v>437</v>
      </c>
      <c r="E26" s="87" t="s">
        <v>438</v>
      </c>
      <c r="F26" s="136" t="b">
        <v>0</v>
      </c>
      <c r="G26" s="146" t="b">
        <v>0</v>
      </c>
      <c r="H26" s="146" t="b">
        <v>0</v>
      </c>
      <c r="I26" s="146" t="b">
        <v>0</v>
      </c>
      <c r="J26" s="138"/>
      <c r="K26" s="143" t="s">
        <v>435</v>
      </c>
      <c r="L26" s="87"/>
      <c r="M26" s="125"/>
      <c r="N26" s="125"/>
      <c r="O26" s="125"/>
      <c r="P26" s="125"/>
      <c r="Q26" s="125"/>
      <c r="R26" s="125"/>
      <c r="S26" s="125"/>
      <c r="T26" s="125"/>
      <c r="U26" s="125"/>
    </row>
    <row r="27" outlineLevel="1">
      <c r="A27" s="47"/>
      <c r="B27" s="47"/>
      <c r="C27" s="42">
        <f t="shared" si="1"/>
        <v>0</v>
      </c>
      <c r="D27" s="133" t="s">
        <v>444</v>
      </c>
      <c r="E27" s="87" t="s">
        <v>445</v>
      </c>
      <c r="F27" s="136" t="b">
        <v>0</v>
      </c>
      <c r="G27" s="146" t="b">
        <v>0</v>
      </c>
      <c r="H27" s="146" t="b">
        <v>0</v>
      </c>
      <c r="I27" s="146" t="b">
        <v>0</v>
      </c>
      <c r="J27" s="138"/>
      <c r="K27" s="143" t="s">
        <v>450</v>
      </c>
      <c r="L27" s="87"/>
      <c r="M27" s="125"/>
      <c r="N27" s="125"/>
      <c r="O27" s="125"/>
      <c r="P27" s="125"/>
      <c r="Q27" s="125"/>
      <c r="R27" s="125"/>
      <c r="S27" s="125"/>
      <c r="T27" s="125"/>
      <c r="U27" s="125"/>
    </row>
    <row r="28" outlineLevel="1">
      <c r="A28" s="50"/>
      <c r="B28" s="50"/>
      <c r="C28" s="35">
        <f t="shared" si="1"/>
        <v>0</v>
      </c>
      <c r="D28" s="148" t="s">
        <v>453</v>
      </c>
      <c r="E28" s="83" t="s">
        <v>455</v>
      </c>
      <c r="F28" s="150" t="b">
        <v>0</v>
      </c>
      <c r="G28" s="151" t="b">
        <v>0</v>
      </c>
      <c r="H28" s="150" t="b">
        <v>0</v>
      </c>
      <c r="I28" s="151" t="b">
        <v>0</v>
      </c>
      <c r="J28" s="152"/>
      <c r="K28" s="72" t="s">
        <v>435</v>
      </c>
      <c r="L28" s="87"/>
      <c r="M28" s="125"/>
      <c r="N28" s="125"/>
      <c r="O28" s="125"/>
      <c r="P28" s="125"/>
      <c r="Q28" s="125"/>
      <c r="R28" s="125"/>
      <c r="S28" s="125"/>
      <c r="T28" s="125"/>
      <c r="U28" s="125"/>
    </row>
    <row r="29" outlineLevel="1">
      <c r="A29" s="161" t="s">
        <v>458</v>
      </c>
      <c r="B29" s="162" t="s">
        <v>465</v>
      </c>
      <c r="C29" s="42">
        <f t="shared" si="1"/>
        <v>4</v>
      </c>
      <c r="D29" s="133" t="s">
        <v>470</v>
      </c>
      <c r="E29" s="87" t="s">
        <v>471</v>
      </c>
      <c r="F29" s="136" t="b">
        <v>1</v>
      </c>
      <c r="G29" s="136" t="b">
        <v>1</v>
      </c>
      <c r="H29" s="136" t="b">
        <v>1</v>
      </c>
      <c r="I29" s="136" t="b">
        <v>1</v>
      </c>
      <c r="J29" s="138"/>
      <c r="K29" s="138"/>
      <c r="L29" s="87"/>
      <c r="M29" s="125"/>
      <c r="N29" s="125"/>
      <c r="O29" s="125"/>
      <c r="P29" s="125"/>
      <c r="Q29" s="125"/>
      <c r="R29" s="125"/>
      <c r="S29" s="125"/>
      <c r="T29" s="125"/>
      <c r="U29" s="125"/>
    </row>
    <row r="30" outlineLevel="1">
      <c r="A30" s="47"/>
      <c r="B30" s="50"/>
      <c r="C30" s="35">
        <f t="shared" si="1"/>
        <v>4</v>
      </c>
      <c r="D30" s="148" t="s">
        <v>476</v>
      </c>
      <c r="E30" s="83" t="s">
        <v>477</v>
      </c>
      <c r="F30" s="150" t="b">
        <v>1</v>
      </c>
      <c r="G30" s="150" t="b">
        <v>1</v>
      </c>
      <c r="H30" s="150" t="b">
        <v>1</v>
      </c>
      <c r="I30" s="150" t="b">
        <v>1</v>
      </c>
      <c r="J30" s="152"/>
      <c r="K30" s="152"/>
      <c r="L30" s="87"/>
      <c r="M30" s="125"/>
      <c r="N30" s="125"/>
      <c r="O30" s="125"/>
      <c r="P30" s="125"/>
      <c r="Q30" s="125"/>
      <c r="R30" s="125"/>
      <c r="S30" s="125"/>
      <c r="T30" s="125"/>
      <c r="U30" s="125"/>
    </row>
    <row r="31" outlineLevel="1">
      <c r="A31" s="47"/>
      <c r="B31" s="164" t="s">
        <v>480</v>
      </c>
      <c r="C31" s="42">
        <f t="shared" si="1"/>
        <v>0</v>
      </c>
      <c r="D31" s="133" t="s">
        <v>485</v>
      </c>
      <c r="E31" s="87" t="s">
        <v>486</v>
      </c>
      <c r="F31" s="136" t="b">
        <v>0</v>
      </c>
      <c r="G31" s="146" t="b">
        <v>0</v>
      </c>
      <c r="H31" s="146" t="b">
        <v>0</v>
      </c>
      <c r="I31" s="146" t="b">
        <v>0</v>
      </c>
      <c r="J31" s="138"/>
      <c r="K31" s="143" t="s">
        <v>492</v>
      </c>
      <c r="L31" s="87"/>
      <c r="M31" s="125"/>
      <c r="N31" s="125"/>
      <c r="O31" s="125"/>
      <c r="P31" s="125"/>
      <c r="Q31" s="125"/>
      <c r="R31" s="125"/>
      <c r="S31" s="125"/>
      <c r="T31" s="125"/>
      <c r="U31" s="125"/>
    </row>
    <row r="32" outlineLevel="1">
      <c r="A32" s="47"/>
      <c r="B32" s="47"/>
      <c r="C32" s="42">
        <f t="shared" si="1"/>
        <v>4</v>
      </c>
      <c r="D32" s="133" t="s">
        <v>493</v>
      </c>
      <c r="E32" s="87" t="s">
        <v>494</v>
      </c>
      <c r="F32" s="136" t="b">
        <v>1</v>
      </c>
      <c r="G32" s="136" t="b">
        <v>1</v>
      </c>
      <c r="H32" s="136" t="b">
        <v>1</v>
      </c>
      <c r="I32" s="136" t="b">
        <v>1</v>
      </c>
      <c r="J32" s="138"/>
      <c r="K32" s="138"/>
      <c r="L32" s="87"/>
      <c r="M32" s="125"/>
      <c r="N32" s="125"/>
      <c r="O32" s="125"/>
      <c r="P32" s="125"/>
      <c r="Q32" s="125"/>
      <c r="R32" s="125"/>
      <c r="S32" s="125"/>
      <c r="T32" s="125"/>
      <c r="U32" s="125"/>
    </row>
    <row r="33" outlineLevel="1">
      <c r="A33" s="47"/>
      <c r="B33" s="47"/>
      <c r="C33" s="42">
        <f t="shared" si="1"/>
        <v>4</v>
      </c>
      <c r="D33" s="133" t="s">
        <v>501</v>
      </c>
      <c r="E33" s="87" t="s">
        <v>502</v>
      </c>
      <c r="F33" s="136" t="b">
        <v>1</v>
      </c>
      <c r="G33" s="136" t="b">
        <v>1</v>
      </c>
      <c r="H33" s="136" t="b">
        <v>1</v>
      </c>
      <c r="I33" s="136" t="b">
        <v>1</v>
      </c>
      <c r="J33" s="138"/>
      <c r="K33" s="143" t="s">
        <v>503</v>
      </c>
      <c r="L33" s="87"/>
      <c r="M33" s="125"/>
      <c r="N33" s="125"/>
      <c r="O33" s="125"/>
      <c r="P33" s="125"/>
      <c r="Q33" s="125"/>
      <c r="R33" s="125"/>
      <c r="S33" s="125"/>
      <c r="T33" s="125"/>
      <c r="U33" s="125"/>
    </row>
    <row r="34" outlineLevel="1">
      <c r="A34" s="47"/>
      <c r="B34" s="47"/>
      <c r="C34" s="42">
        <f t="shared" si="1"/>
        <v>4</v>
      </c>
      <c r="D34" s="133" t="s">
        <v>508</v>
      </c>
      <c r="E34" s="87" t="s">
        <v>510</v>
      </c>
      <c r="F34" s="136" t="b">
        <v>1</v>
      </c>
      <c r="G34" s="136" t="b">
        <v>1</v>
      </c>
      <c r="H34" s="136" t="b">
        <v>1</v>
      </c>
      <c r="I34" s="136" t="b">
        <v>1</v>
      </c>
      <c r="J34" s="138"/>
      <c r="K34" s="138"/>
      <c r="L34" s="87"/>
      <c r="M34" s="125"/>
      <c r="N34" s="125"/>
      <c r="O34" s="125"/>
      <c r="P34" s="125"/>
      <c r="Q34" s="125"/>
      <c r="R34" s="125"/>
      <c r="S34" s="125"/>
      <c r="T34" s="125"/>
      <c r="U34" s="125"/>
    </row>
    <row r="35" outlineLevel="1">
      <c r="A35" s="47"/>
      <c r="B35" s="47"/>
      <c r="C35" s="42">
        <f t="shared" si="1"/>
        <v>0</v>
      </c>
      <c r="D35" s="133" t="s">
        <v>513</v>
      </c>
      <c r="E35" s="87" t="s">
        <v>514</v>
      </c>
      <c r="F35" s="136" t="b">
        <v>0</v>
      </c>
      <c r="G35" s="146" t="b">
        <v>0</v>
      </c>
      <c r="H35" s="146" t="b">
        <v>0</v>
      </c>
      <c r="I35" s="146" t="b">
        <v>0</v>
      </c>
      <c r="J35" s="138"/>
      <c r="K35" s="143" t="s">
        <v>515</v>
      </c>
      <c r="L35" s="87"/>
      <c r="M35" s="125"/>
      <c r="N35" s="125"/>
      <c r="O35" s="125"/>
      <c r="P35" s="125"/>
      <c r="Q35" s="125"/>
      <c r="R35" s="125"/>
      <c r="S35" s="125"/>
      <c r="T35" s="125"/>
      <c r="U35" s="125"/>
    </row>
    <row r="36" outlineLevel="1">
      <c r="A36" s="47"/>
      <c r="B36" s="47"/>
      <c r="C36" s="42">
        <f t="shared" si="1"/>
        <v>0</v>
      </c>
      <c r="D36" s="133" t="s">
        <v>518</v>
      </c>
      <c r="E36" s="87" t="s">
        <v>520</v>
      </c>
      <c r="F36" s="136" t="b">
        <v>0</v>
      </c>
      <c r="G36" s="136" t="b">
        <v>0</v>
      </c>
      <c r="H36" s="136" t="b">
        <v>0</v>
      </c>
      <c r="I36" s="136" t="b">
        <v>0</v>
      </c>
      <c r="J36" s="138"/>
      <c r="K36" s="143" t="s">
        <v>521</v>
      </c>
      <c r="L36" s="87"/>
      <c r="M36" s="125"/>
      <c r="N36" s="125"/>
      <c r="O36" s="125"/>
      <c r="P36" s="125"/>
      <c r="Q36" s="125"/>
      <c r="R36" s="125"/>
      <c r="S36" s="125"/>
      <c r="T36" s="125"/>
      <c r="U36" s="125"/>
    </row>
    <row r="37" outlineLevel="1">
      <c r="A37" s="47"/>
      <c r="B37" s="47"/>
      <c r="C37" s="42">
        <f t="shared" si="1"/>
        <v>4</v>
      </c>
      <c r="D37" s="133" t="s">
        <v>522</v>
      </c>
      <c r="E37" s="87" t="s">
        <v>523</v>
      </c>
      <c r="F37" s="136" t="b">
        <v>1</v>
      </c>
      <c r="G37" s="136" t="b">
        <v>1</v>
      </c>
      <c r="H37" s="136" t="b">
        <v>1</v>
      </c>
      <c r="I37" s="136" t="b">
        <v>1</v>
      </c>
      <c r="J37" s="138"/>
      <c r="K37" s="143" t="s">
        <v>526</v>
      </c>
      <c r="L37" s="87"/>
      <c r="M37" s="125"/>
      <c r="N37" s="125"/>
      <c r="O37" s="125"/>
      <c r="P37" s="125"/>
      <c r="Q37" s="125"/>
      <c r="R37" s="125"/>
      <c r="S37" s="125"/>
      <c r="T37" s="125"/>
      <c r="U37" s="125"/>
    </row>
    <row r="38" outlineLevel="1">
      <c r="A38" s="47"/>
      <c r="B38" s="47"/>
      <c r="C38" s="42">
        <f t="shared" si="1"/>
        <v>0</v>
      </c>
      <c r="D38" s="133" t="s">
        <v>527</v>
      </c>
      <c r="E38" s="87" t="s">
        <v>528</v>
      </c>
      <c r="F38" s="136" t="b">
        <v>0</v>
      </c>
      <c r="G38" s="146" t="b">
        <v>0</v>
      </c>
      <c r="H38" s="146" t="b">
        <v>0</v>
      </c>
      <c r="I38" s="146" t="b">
        <v>0</v>
      </c>
      <c r="J38" s="138"/>
      <c r="K38" s="143" t="s">
        <v>529</v>
      </c>
      <c r="L38" s="87"/>
      <c r="M38" s="125"/>
      <c r="N38" s="125"/>
      <c r="O38" s="125"/>
      <c r="P38" s="125"/>
      <c r="Q38" s="125"/>
      <c r="R38" s="125"/>
      <c r="S38" s="125"/>
      <c r="T38" s="125"/>
      <c r="U38" s="125"/>
    </row>
    <row r="39" outlineLevel="1">
      <c r="A39" s="47"/>
      <c r="B39" s="50"/>
      <c r="C39" s="35">
        <f t="shared" si="1"/>
        <v>4</v>
      </c>
      <c r="D39" s="148" t="s">
        <v>532</v>
      </c>
      <c r="E39" s="83" t="s">
        <v>533</v>
      </c>
      <c r="F39" s="150" t="b">
        <v>1</v>
      </c>
      <c r="G39" s="150" t="b">
        <v>1</v>
      </c>
      <c r="H39" s="150" t="b">
        <v>1</v>
      </c>
      <c r="I39" s="150" t="b">
        <v>1</v>
      </c>
      <c r="J39" s="152"/>
      <c r="K39" s="143" t="s">
        <v>515</v>
      </c>
      <c r="L39" s="87"/>
      <c r="M39" s="125"/>
      <c r="N39" s="125"/>
      <c r="O39" s="125"/>
      <c r="P39" s="125"/>
      <c r="Q39" s="125"/>
      <c r="R39" s="125"/>
      <c r="S39" s="125"/>
      <c r="T39" s="125"/>
      <c r="U39" s="125"/>
    </row>
    <row r="40" outlineLevel="1">
      <c r="A40" s="47"/>
      <c r="B40" s="166" t="s">
        <v>536</v>
      </c>
      <c r="C40" s="42">
        <f t="shared" si="1"/>
        <v>2</v>
      </c>
      <c r="D40" s="133" t="s">
        <v>540</v>
      </c>
      <c r="E40" s="87" t="s">
        <v>541</v>
      </c>
      <c r="F40" s="136" t="b">
        <v>1</v>
      </c>
      <c r="G40" s="136" t="b">
        <v>1</v>
      </c>
      <c r="H40" s="146" t="b">
        <v>0</v>
      </c>
      <c r="I40" s="146" t="b">
        <v>0</v>
      </c>
      <c r="J40" s="138"/>
      <c r="K40" s="138"/>
      <c r="L40" s="87"/>
      <c r="M40" s="125"/>
      <c r="N40" s="125"/>
      <c r="O40" s="125"/>
      <c r="P40" s="125"/>
      <c r="Q40" s="125"/>
      <c r="R40" s="125"/>
      <c r="S40" s="125"/>
      <c r="T40" s="125"/>
      <c r="U40" s="125"/>
    </row>
    <row r="41" outlineLevel="1">
      <c r="A41" s="47"/>
      <c r="B41" s="47"/>
      <c r="C41" s="42">
        <f t="shared" si="1"/>
        <v>2</v>
      </c>
      <c r="D41" s="133" t="s">
        <v>545</v>
      </c>
      <c r="E41" s="87" t="s">
        <v>546</v>
      </c>
      <c r="F41" s="136" t="b">
        <v>1</v>
      </c>
      <c r="G41" s="136" t="b">
        <v>1</v>
      </c>
      <c r="H41" s="146" t="b">
        <v>0</v>
      </c>
      <c r="I41" s="146" t="b">
        <v>0</v>
      </c>
      <c r="J41" s="138"/>
      <c r="K41" s="138"/>
      <c r="L41" s="87"/>
      <c r="M41" s="125"/>
      <c r="N41" s="125"/>
      <c r="O41" s="125"/>
      <c r="P41" s="125"/>
      <c r="Q41" s="125"/>
      <c r="R41" s="125"/>
      <c r="S41" s="125"/>
      <c r="T41" s="125"/>
      <c r="U41" s="125"/>
    </row>
    <row r="42" outlineLevel="1">
      <c r="A42" s="50"/>
      <c r="B42" s="50"/>
      <c r="C42" s="42">
        <f t="shared" si="1"/>
        <v>3</v>
      </c>
      <c r="D42" s="148" t="s">
        <v>553</v>
      </c>
      <c r="E42" s="83" t="s">
        <v>555</v>
      </c>
      <c r="F42" s="150" t="b">
        <v>1</v>
      </c>
      <c r="G42" s="150" t="b">
        <v>1</v>
      </c>
      <c r="H42" s="151" t="b">
        <v>0</v>
      </c>
      <c r="I42" s="150" t="b">
        <v>1</v>
      </c>
      <c r="J42" s="152"/>
      <c r="K42" s="152"/>
      <c r="L42" s="87"/>
      <c r="M42" s="125"/>
      <c r="N42" s="125"/>
      <c r="O42" s="125"/>
      <c r="P42" s="125"/>
      <c r="Q42" s="125"/>
      <c r="R42" s="125"/>
      <c r="S42" s="125"/>
      <c r="T42" s="125"/>
      <c r="U42" s="125"/>
    </row>
    <row r="43">
      <c r="A43" s="97"/>
      <c r="B43" s="97"/>
      <c r="C43" s="97"/>
      <c r="D43" s="97"/>
      <c r="E43" s="97"/>
      <c r="F43" s="97"/>
      <c r="G43" s="97"/>
      <c r="H43" s="97"/>
      <c r="I43" s="97"/>
      <c r="J43" s="97"/>
      <c r="K43" s="97"/>
      <c r="L43" s="87"/>
      <c r="M43" s="125"/>
      <c r="N43" s="125"/>
      <c r="O43" s="125"/>
      <c r="P43" s="125"/>
      <c r="Q43" s="125"/>
      <c r="R43" s="125"/>
      <c r="S43" s="125"/>
      <c r="T43" s="125"/>
      <c r="U43" s="125"/>
    </row>
    <row r="44" outlineLevel="1">
      <c r="A44" s="100" t="s">
        <v>4</v>
      </c>
      <c r="C44" s="102" t="s">
        <v>184</v>
      </c>
      <c r="D44" s="103">
        <f>COUNTIF(L47:L83,true)</f>
        <v>13</v>
      </c>
      <c r="E44" s="104" t="s">
        <v>195</v>
      </c>
      <c r="F44" s="102" t="s">
        <v>196</v>
      </c>
      <c r="H44" s="105">
        <f>IFERROR(__xludf.DUMMYFUNCTION("COUNTUNIQUE(D5:D42)"),38.0)</f>
        <v>38</v>
      </c>
      <c r="I44" s="107" t="s">
        <v>206</v>
      </c>
      <c r="J44" s="108"/>
      <c r="K44" s="108">
        <f>H44/3</f>
        <v>12.66666667</v>
      </c>
      <c r="L44" s="26"/>
      <c r="M44" s="26"/>
      <c r="N44" s="26"/>
      <c r="O44" s="26"/>
      <c r="P44" s="26"/>
      <c r="Q44" s="26"/>
      <c r="R44" s="26"/>
      <c r="S44" s="26"/>
      <c r="T44" s="26"/>
      <c r="U44" s="26"/>
    </row>
    <row r="45">
      <c r="A45" s="109" t="s">
        <v>216</v>
      </c>
      <c r="B45" s="13"/>
      <c r="C45" s="111">
        <v>2.0</v>
      </c>
      <c r="D45" s="9"/>
      <c r="E45" s="112" t="s">
        <v>226</v>
      </c>
      <c r="F45" s="9"/>
      <c r="G45" s="9"/>
      <c r="H45" s="9"/>
      <c r="I45" s="9"/>
      <c r="J45" s="9"/>
      <c r="K45" s="9"/>
      <c r="L45" s="87"/>
      <c r="M45" s="125"/>
      <c r="N45" s="125"/>
      <c r="O45" s="125"/>
      <c r="P45" s="125"/>
      <c r="Q45" s="125"/>
      <c r="R45" s="125"/>
      <c r="S45" s="125"/>
      <c r="T45" s="125"/>
      <c r="U45" s="125"/>
    </row>
    <row r="46">
      <c r="A46" s="17" t="s">
        <v>7</v>
      </c>
      <c r="B46" s="19"/>
      <c r="C46" s="20" t="s">
        <v>8</v>
      </c>
      <c r="D46" s="21" t="s">
        <v>9</v>
      </c>
      <c r="E46" s="23" t="s">
        <v>10</v>
      </c>
      <c r="F46" s="20" t="s">
        <v>12</v>
      </c>
      <c r="G46" s="20" t="s">
        <v>13</v>
      </c>
      <c r="H46" s="20" t="s">
        <v>234</v>
      </c>
      <c r="I46" s="20" t="s">
        <v>17</v>
      </c>
      <c r="J46" s="20"/>
      <c r="K46" s="20" t="s">
        <v>18</v>
      </c>
      <c r="L46" s="21" t="s">
        <v>235</v>
      </c>
      <c r="M46" s="125"/>
      <c r="N46" s="125"/>
      <c r="O46" s="125"/>
      <c r="P46" s="125"/>
      <c r="Q46" s="125"/>
      <c r="R46" s="125"/>
      <c r="S46" s="125"/>
      <c r="T46" s="125"/>
      <c r="U46" s="125"/>
    </row>
    <row r="47">
      <c r="A47" s="79" t="s">
        <v>19</v>
      </c>
      <c r="B47" s="123" t="s">
        <v>278</v>
      </c>
      <c r="C47" s="42">
        <f t="shared" ref="C47:C83" si="4">countif(F47:I47,TRUE)</f>
        <v>3</v>
      </c>
      <c r="D47" s="9" t="str">
        <f t="shared" ref="D47:I47" si="2">if($C5&gt;$C$45,D5,"")</f>
        <v>4.NBT.A.1</v>
      </c>
      <c r="E47" s="114" t="str">
        <f t="shared" si="2"/>
        <v>Recognize that in a multi-digit whole number, a digit in one place represents ten times what it represents in the place to its right. For example, recognize that 700 ÷ 70 = 10 by applying concepts of place value and division.</v>
      </c>
      <c r="F47" s="115" t="b">
        <f t="shared" si="2"/>
        <v>1</v>
      </c>
      <c r="G47" s="115" t="b">
        <f t="shared" si="2"/>
        <v>1</v>
      </c>
      <c r="H47" s="115" t="b">
        <f t="shared" si="2"/>
        <v>1</v>
      </c>
      <c r="I47" s="115" t="b">
        <f t="shared" si="2"/>
        <v>0</v>
      </c>
      <c r="J47" s="9"/>
      <c r="K47" s="114" t="str">
        <f t="shared" ref="K47:K49" si="6">if($C5&gt;$C$45,K5,"")</f>
        <v/>
      </c>
      <c r="L47" s="116" t="b">
        <v>0</v>
      </c>
      <c r="M47" s="9" t="str">
        <f t="shared" ref="M47:U47" si="3">if($L47=TRUE,C47,"")</f>
        <v/>
      </c>
      <c r="N47" s="9" t="str">
        <f t="shared" si="3"/>
        <v/>
      </c>
      <c r="O47" s="9" t="str">
        <f t="shared" si="3"/>
        <v/>
      </c>
      <c r="P47" s="9" t="str">
        <f t="shared" si="3"/>
        <v/>
      </c>
      <c r="Q47" s="9" t="str">
        <f t="shared" si="3"/>
        <v/>
      </c>
      <c r="R47" s="9" t="str">
        <f t="shared" si="3"/>
        <v/>
      </c>
      <c r="S47" s="9" t="str">
        <f t="shared" si="3"/>
        <v/>
      </c>
      <c r="T47" s="9" t="str">
        <f t="shared" si="3"/>
        <v/>
      </c>
      <c r="U47" s="11" t="str">
        <f t="shared" si="3"/>
        <v/>
      </c>
    </row>
    <row r="48">
      <c r="A48" s="47"/>
      <c r="B48" s="47"/>
      <c r="C48" s="42">
        <f t="shared" si="4"/>
        <v>4</v>
      </c>
      <c r="D48" s="9" t="str">
        <f t="shared" ref="D48:I48" si="5">if($C6&gt;$C$45,D6,"")</f>
        <v>4.NBT.A.2
(Part One)</v>
      </c>
      <c r="E48" s="114" t="str">
        <f t="shared" si="5"/>
        <v>Read and write multi-digit whole numbers using base-ten numerals, number names, and expanded form. </v>
      </c>
      <c r="F48" s="115" t="b">
        <f t="shared" si="5"/>
        <v>1</v>
      </c>
      <c r="G48" s="115" t="b">
        <f t="shared" si="5"/>
        <v>1</v>
      </c>
      <c r="H48" s="115" t="b">
        <f t="shared" si="5"/>
        <v>1</v>
      </c>
      <c r="I48" s="115" t="b">
        <f t="shared" si="5"/>
        <v>1</v>
      </c>
      <c r="J48" s="9"/>
      <c r="K48" s="114" t="str">
        <f t="shared" si="6"/>
        <v>R - Will be used throughout grade bands
E - Yes, we use it... but will it ALWAYS be assessed?
A - Yup
L - Science
(Low priority)</v>
      </c>
      <c r="L48" s="167" t="b">
        <v>1</v>
      </c>
      <c r="M48" s="9">
        <f t="shared" ref="M48:U48" si="7">if($L48=TRUE,C48,"")</f>
        <v>4</v>
      </c>
      <c r="N48" s="9" t="str">
        <f t="shared" si="7"/>
        <v>4.NBT.A.2
(Part One)</v>
      </c>
      <c r="O48" s="9" t="str">
        <f t="shared" si="7"/>
        <v>Read and write multi-digit whole numbers using base-ten numerals, number names, and expanded form. </v>
      </c>
      <c r="P48" s="9" t="b">
        <f t="shared" si="7"/>
        <v>1</v>
      </c>
      <c r="Q48" s="9" t="b">
        <f t="shared" si="7"/>
        <v>1</v>
      </c>
      <c r="R48" s="9" t="b">
        <f t="shared" si="7"/>
        <v>1</v>
      </c>
      <c r="S48" s="9" t="b">
        <f t="shared" si="7"/>
        <v>1</v>
      </c>
      <c r="T48" s="9" t="str">
        <f t="shared" si="7"/>
        <v/>
      </c>
      <c r="U48" s="11" t="str">
        <f t="shared" si="7"/>
        <v>R - Will be used throughout grade bands
E - Yes, we use it... but will it ALWAYS be assessed?
A - Yup
L - Science
(Low priority)</v>
      </c>
    </row>
    <row r="49">
      <c r="A49" s="47"/>
      <c r="B49" s="50"/>
      <c r="C49" s="42">
        <f t="shared" si="4"/>
        <v>0</v>
      </c>
      <c r="D49" s="9" t="str">
        <f t="shared" ref="D49:I49" si="8">if($C7&gt;$C$45,D7,"")</f>
        <v/>
      </c>
      <c r="E49" s="114" t="str">
        <f t="shared" si="8"/>
        <v/>
      </c>
      <c r="F49" s="115" t="str">
        <f t="shared" si="8"/>
        <v/>
      </c>
      <c r="G49" s="115" t="str">
        <f t="shared" si="8"/>
        <v/>
      </c>
      <c r="H49" s="115" t="str">
        <f t="shared" si="8"/>
        <v/>
      </c>
      <c r="I49" s="115" t="str">
        <f t="shared" si="8"/>
        <v/>
      </c>
      <c r="J49" s="9"/>
      <c r="K49" s="114" t="str">
        <f t="shared" si="6"/>
        <v/>
      </c>
      <c r="L49" s="170" t="b">
        <v>0</v>
      </c>
      <c r="M49" s="9" t="str">
        <f t="shared" ref="M49:U49" si="9">if($L49=TRUE,C49,"")</f>
        <v/>
      </c>
      <c r="N49" s="9" t="str">
        <f t="shared" si="9"/>
        <v/>
      </c>
      <c r="O49" s="9" t="str">
        <f t="shared" si="9"/>
        <v/>
      </c>
      <c r="P49" s="9" t="str">
        <f t="shared" si="9"/>
        <v/>
      </c>
      <c r="Q49" s="9" t="str">
        <f t="shared" si="9"/>
        <v/>
      </c>
      <c r="R49" s="9" t="str">
        <f t="shared" si="9"/>
        <v/>
      </c>
      <c r="S49" s="9" t="str">
        <f t="shared" si="9"/>
        <v/>
      </c>
      <c r="T49" s="9" t="str">
        <f t="shared" si="9"/>
        <v/>
      </c>
      <c r="U49" s="11" t="str">
        <f t="shared" si="9"/>
        <v/>
      </c>
    </row>
    <row r="50">
      <c r="A50" s="47"/>
      <c r="B50" s="41" t="s">
        <v>265</v>
      </c>
      <c r="C50" s="42">
        <f t="shared" si="4"/>
        <v>4</v>
      </c>
      <c r="D50" s="9" t="str">
        <f t="shared" ref="D50:I50" si="10">if($C9&gt;$C$45,D9,"")</f>
        <v>4.NBT.B.4</v>
      </c>
      <c r="E50" s="114" t="str">
        <f t="shared" si="10"/>
        <v>Fluently add and subtract multi-digit whole numbers using the standard algorithm.</v>
      </c>
      <c r="F50" s="115" t="b">
        <f t="shared" si="10"/>
        <v>1</v>
      </c>
      <c r="G50" s="115" t="b">
        <f t="shared" si="10"/>
        <v>1</v>
      </c>
      <c r="H50" s="115" t="b">
        <f t="shared" si="10"/>
        <v>1</v>
      </c>
      <c r="I50" s="115" t="b">
        <f t="shared" si="10"/>
        <v>1</v>
      </c>
      <c r="J50" s="9"/>
      <c r="K50" s="114" t="str">
        <f t="shared" ref="K50:K83" si="13">if($C9&gt;$C$45,K9,"")</f>
        <v/>
      </c>
      <c r="L50" s="167" t="b">
        <v>1</v>
      </c>
      <c r="M50" s="9">
        <f t="shared" ref="M50:U50" si="11">if($L50=TRUE,C50,"")</f>
        <v>4</v>
      </c>
      <c r="N50" s="9" t="str">
        <f t="shared" si="11"/>
        <v>4.NBT.B.4</v>
      </c>
      <c r="O50" s="9" t="str">
        <f t="shared" si="11"/>
        <v>Fluently add and subtract multi-digit whole numbers using the standard algorithm.</v>
      </c>
      <c r="P50" s="9" t="b">
        <f t="shared" si="11"/>
        <v>1</v>
      </c>
      <c r="Q50" s="9" t="b">
        <f t="shared" si="11"/>
        <v>1</v>
      </c>
      <c r="R50" s="9" t="b">
        <f t="shared" si="11"/>
        <v>1</v>
      </c>
      <c r="S50" s="9" t="b">
        <f t="shared" si="11"/>
        <v>1</v>
      </c>
      <c r="T50" s="9" t="str">
        <f t="shared" si="11"/>
        <v/>
      </c>
      <c r="U50" s="11" t="str">
        <f t="shared" si="11"/>
        <v/>
      </c>
    </row>
    <row r="51">
      <c r="A51" s="47"/>
      <c r="B51" s="47"/>
      <c r="C51" s="42">
        <f t="shared" si="4"/>
        <v>4</v>
      </c>
      <c r="D51" s="9" t="str">
        <f t="shared" ref="D51:I51" si="12">if($C10&gt;$C$45,D10,"")</f>
        <v>4.NBT.B.5</v>
      </c>
      <c r="E51" s="114" t="str">
        <f t="shared" si="12"/>
        <v>Multiply a whole number of up to four digits by a one-digit whole number, and multiply two two-digit numbers, using strategies based on place value and the properties of operations. Illustrate and explain the calculation by using equations, rectangular arrays, and/or area models.</v>
      </c>
      <c r="F51" s="115" t="b">
        <f t="shared" si="12"/>
        <v>1</v>
      </c>
      <c r="G51" s="115" t="b">
        <f t="shared" si="12"/>
        <v>1</v>
      </c>
      <c r="H51" s="115" t="b">
        <f t="shared" si="12"/>
        <v>1</v>
      </c>
      <c r="I51" s="115" t="b">
        <f t="shared" si="12"/>
        <v>1</v>
      </c>
      <c r="J51" s="9"/>
      <c r="K51" s="114" t="str">
        <f t="shared" si="13"/>
        <v/>
      </c>
      <c r="L51" s="167" t="b">
        <v>1</v>
      </c>
      <c r="M51" s="9">
        <f t="shared" ref="M51:U51" si="14">if($L51=TRUE,C51,"")</f>
        <v>4</v>
      </c>
      <c r="N51" s="9" t="str">
        <f t="shared" si="14"/>
        <v>4.NBT.B.5</v>
      </c>
      <c r="O51" s="9" t="str">
        <f t="shared" si="14"/>
        <v>Multiply a whole number of up to four digits by a one-digit whole number, and multiply two two-digit numbers, using strategies based on place value and the properties of operations. Illustrate and explain the calculation by using equations, rectangular arrays, and/or area models.</v>
      </c>
      <c r="P51" s="9" t="b">
        <f t="shared" si="14"/>
        <v>1</v>
      </c>
      <c r="Q51" s="9" t="b">
        <f t="shared" si="14"/>
        <v>1</v>
      </c>
      <c r="R51" s="9" t="b">
        <f t="shared" si="14"/>
        <v>1</v>
      </c>
      <c r="S51" s="9" t="b">
        <f t="shared" si="14"/>
        <v>1</v>
      </c>
      <c r="T51" s="9" t="str">
        <f t="shared" si="14"/>
        <v/>
      </c>
      <c r="U51" s="11" t="str">
        <f t="shared" si="14"/>
        <v/>
      </c>
    </row>
    <row r="52">
      <c r="A52" s="50"/>
      <c r="B52" s="50"/>
      <c r="C52" s="35">
        <f t="shared" si="4"/>
        <v>4</v>
      </c>
      <c r="D52" s="9" t="str">
        <f t="shared" ref="D52:I52" si="15">if($C11&gt;$C$45,D11,"")</f>
        <v>4.NBT.B.6</v>
      </c>
      <c r="E52" s="114" t="str">
        <f t="shared" si="15"/>
        <v>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v>
      </c>
      <c r="F52" s="115" t="b">
        <f t="shared" si="15"/>
        <v>1</v>
      </c>
      <c r="G52" s="115" t="b">
        <f t="shared" si="15"/>
        <v>1</v>
      </c>
      <c r="H52" s="115" t="b">
        <f t="shared" si="15"/>
        <v>1</v>
      </c>
      <c r="I52" s="115" t="b">
        <f t="shared" si="15"/>
        <v>1</v>
      </c>
      <c r="J52" s="9"/>
      <c r="K52" s="114" t="str">
        <f t="shared" si="13"/>
        <v/>
      </c>
      <c r="L52" s="167" t="b">
        <v>1</v>
      </c>
      <c r="M52" s="9">
        <f t="shared" ref="M52:U52" si="16">if($L52=TRUE,C52,"")</f>
        <v>4</v>
      </c>
      <c r="N52" s="9" t="str">
        <f t="shared" si="16"/>
        <v>4.NBT.B.6</v>
      </c>
      <c r="O52" s="9" t="str">
        <f t="shared" si="16"/>
        <v>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v>
      </c>
      <c r="P52" s="9" t="b">
        <f t="shared" si="16"/>
        <v>1</v>
      </c>
      <c r="Q52" s="9" t="b">
        <f t="shared" si="16"/>
        <v>1</v>
      </c>
      <c r="R52" s="9" t="b">
        <f t="shared" si="16"/>
        <v>1</v>
      </c>
      <c r="S52" s="9" t="b">
        <f t="shared" si="16"/>
        <v>1</v>
      </c>
      <c r="T52" s="9" t="str">
        <f t="shared" si="16"/>
        <v/>
      </c>
      <c r="U52" s="11" t="str">
        <f t="shared" si="16"/>
        <v/>
      </c>
    </row>
    <row r="53">
      <c r="A53" s="66" t="s">
        <v>47</v>
      </c>
      <c r="B53" s="56" t="s">
        <v>330</v>
      </c>
      <c r="C53" s="42">
        <f t="shared" si="4"/>
        <v>3</v>
      </c>
      <c r="D53" s="9" t="str">
        <f t="shared" ref="D53:I53" si="17">if($C12&gt;$C$45,D12,"")</f>
        <v>4.OA.A.1</v>
      </c>
      <c r="E53" s="114" t="str">
        <f t="shared" si="17"/>
        <v>Interpret a multiplication equation as a comparison, e.g., interpret 35 = 5 × 7 as a statement that 35 is 5 times as many as 7 and 7 times as many as 5. Represent verbal statements of multiplicative comparisons as multiplication equations.</v>
      </c>
      <c r="F53" s="115" t="b">
        <f t="shared" si="17"/>
        <v>1</v>
      </c>
      <c r="G53" s="115" t="b">
        <f t="shared" si="17"/>
        <v>1</v>
      </c>
      <c r="H53" s="115" t="b">
        <f t="shared" si="17"/>
        <v>1</v>
      </c>
      <c r="I53" s="115" t="b">
        <f t="shared" si="17"/>
        <v>0</v>
      </c>
      <c r="J53" s="9"/>
      <c r="K53" s="114" t="str">
        <f t="shared" si="13"/>
        <v>E - Because of the vocabulary component (multiplicative comparison)</v>
      </c>
      <c r="L53" s="167" t="b">
        <v>1</v>
      </c>
      <c r="M53" s="9">
        <f t="shared" ref="M53:U53" si="18">if($L53=TRUE,C53,"")</f>
        <v>3</v>
      </c>
      <c r="N53" s="9" t="str">
        <f t="shared" si="18"/>
        <v>4.OA.A.1</v>
      </c>
      <c r="O53" s="9" t="str">
        <f t="shared" si="18"/>
        <v>Interpret a multiplication equation as a comparison, e.g., interpret 35 = 5 × 7 as a statement that 35 is 5 times as many as 7 and 7 times as many as 5. Represent verbal statements of multiplicative comparisons as multiplication equations.</v>
      </c>
      <c r="P53" s="9" t="b">
        <f t="shared" si="18"/>
        <v>1</v>
      </c>
      <c r="Q53" s="9" t="b">
        <f t="shared" si="18"/>
        <v>1</v>
      </c>
      <c r="R53" s="9" t="b">
        <f t="shared" si="18"/>
        <v>1</v>
      </c>
      <c r="S53" s="9" t="b">
        <f t="shared" si="18"/>
        <v>0</v>
      </c>
      <c r="T53" s="9" t="str">
        <f t="shared" si="18"/>
        <v/>
      </c>
      <c r="U53" s="11" t="str">
        <f t="shared" si="18"/>
        <v>E - Because of the vocabulary component (multiplicative comparison)</v>
      </c>
    </row>
    <row r="54">
      <c r="A54" s="47"/>
      <c r="B54" s="47"/>
      <c r="C54" s="42">
        <f t="shared" si="4"/>
        <v>3</v>
      </c>
      <c r="D54" s="9" t="str">
        <f t="shared" ref="D54:I54" si="19">if($C13&gt;$C$45,D13,"")</f>
        <v>4.OA.A.2</v>
      </c>
      <c r="E54" s="114" t="str">
        <f t="shared" si="19"/>
        <v>Multiply or divide to solve word problems involving multiplicative comparison, e.g., by using drawings and equations with a symbol for the unknown number to represent the problem, distinguishing multiplicative comparison from additive comparison.</v>
      </c>
      <c r="F54" s="115" t="b">
        <f t="shared" si="19"/>
        <v>1</v>
      </c>
      <c r="G54" s="115" t="b">
        <f t="shared" si="19"/>
        <v>1</v>
      </c>
      <c r="H54" s="115" t="b">
        <f t="shared" si="19"/>
        <v>1</v>
      </c>
      <c r="I54" s="115" t="b">
        <f t="shared" si="19"/>
        <v>0</v>
      </c>
      <c r="J54" s="9"/>
      <c r="K54" s="114" t="str">
        <f t="shared" si="13"/>
        <v>Should be integrated in assessments through DOK questions focused on this skill.</v>
      </c>
      <c r="L54" s="167" t="b">
        <v>0</v>
      </c>
      <c r="M54" s="9" t="str">
        <f t="shared" ref="M54:U54" si="20">if($L54=TRUE,C54,"")</f>
        <v/>
      </c>
      <c r="N54" s="9" t="str">
        <f t="shared" si="20"/>
        <v/>
      </c>
      <c r="O54" s="9" t="str">
        <f t="shared" si="20"/>
        <v/>
      </c>
      <c r="P54" s="9" t="str">
        <f t="shared" si="20"/>
        <v/>
      </c>
      <c r="Q54" s="9" t="str">
        <f t="shared" si="20"/>
        <v/>
      </c>
      <c r="R54" s="9" t="str">
        <f t="shared" si="20"/>
        <v/>
      </c>
      <c r="S54" s="9" t="str">
        <f t="shared" si="20"/>
        <v/>
      </c>
      <c r="T54" s="9" t="str">
        <f t="shared" si="20"/>
        <v/>
      </c>
      <c r="U54" s="11" t="str">
        <f t="shared" si="20"/>
        <v/>
      </c>
    </row>
    <row r="55">
      <c r="A55" s="47"/>
      <c r="B55" s="50"/>
      <c r="C55" s="35">
        <f t="shared" si="4"/>
        <v>4</v>
      </c>
      <c r="D55" s="9" t="str">
        <f t="shared" ref="D55:I55" si="21">if($C14&gt;$C$45,D14,"")</f>
        <v>4.OA.A.3</v>
      </c>
      <c r="E55" s="114" t="str">
        <f t="shared" si="21"/>
        <v>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v>
      </c>
      <c r="F55" s="115" t="b">
        <f t="shared" si="21"/>
        <v>1</v>
      </c>
      <c r="G55" s="115" t="b">
        <f t="shared" si="21"/>
        <v>1</v>
      </c>
      <c r="H55" s="115" t="b">
        <f t="shared" si="21"/>
        <v>1</v>
      </c>
      <c r="I55" s="115" t="b">
        <f t="shared" si="21"/>
        <v>1</v>
      </c>
      <c r="J55" s="9"/>
      <c r="K55" s="114" t="str">
        <f t="shared" si="13"/>
        <v>Should be integrated in assessments through DOK questions focused on this skill. Emphasize justification!</v>
      </c>
      <c r="L55" s="167" t="b">
        <v>1</v>
      </c>
      <c r="M55" s="9">
        <f t="shared" ref="M55:U55" si="22">if($L55=TRUE,C55,"")</f>
        <v>4</v>
      </c>
      <c r="N55" s="9" t="str">
        <f t="shared" si="22"/>
        <v>4.OA.A.3</v>
      </c>
      <c r="O55" s="9" t="str">
        <f t="shared" si="22"/>
        <v>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v>
      </c>
      <c r="P55" s="9" t="b">
        <f t="shared" si="22"/>
        <v>1</v>
      </c>
      <c r="Q55" s="9" t="b">
        <f t="shared" si="22"/>
        <v>1</v>
      </c>
      <c r="R55" s="9" t="b">
        <f t="shared" si="22"/>
        <v>1</v>
      </c>
      <c r="S55" s="9" t="b">
        <f t="shared" si="22"/>
        <v>1</v>
      </c>
      <c r="T55" s="9" t="str">
        <f t="shared" si="22"/>
        <v/>
      </c>
      <c r="U55" s="11" t="str">
        <f t="shared" si="22"/>
        <v>Should be integrated in assessments through DOK questions focused on this skill. Emphasize justification!</v>
      </c>
    </row>
    <row r="56">
      <c r="A56" s="47"/>
      <c r="B56" s="98" t="s">
        <v>346</v>
      </c>
      <c r="C56" s="35">
        <f t="shared" si="4"/>
        <v>3</v>
      </c>
      <c r="D56" s="9" t="str">
        <f t="shared" ref="D56:I56" si="23">if($C15&gt;$C$45,D15,"")</f>
        <v>4.OA.B.4</v>
      </c>
      <c r="E56" s="114" t="str">
        <f t="shared" si="23"/>
        <v>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v>
      </c>
      <c r="F56" s="115" t="b">
        <f t="shared" si="23"/>
        <v>1</v>
      </c>
      <c r="G56" s="115" t="b">
        <f t="shared" si="23"/>
        <v>1</v>
      </c>
      <c r="H56" s="115" t="b">
        <f t="shared" si="23"/>
        <v>1</v>
      </c>
      <c r="I56" s="115" t="b">
        <f t="shared" si="23"/>
        <v>0</v>
      </c>
      <c r="J56" s="9"/>
      <c r="K56" s="114" t="str">
        <f t="shared" si="13"/>
        <v>essential</v>
      </c>
      <c r="L56" s="167" t="b">
        <v>1</v>
      </c>
      <c r="M56" s="9">
        <f t="shared" ref="M56:U56" si="24">if($L56=TRUE,C56,"")</f>
        <v>3</v>
      </c>
      <c r="N56" s="9" t="str">
        <f t="shared" si="24"/>
        <v>4.OA.B.4</v>
      </c>
      <c r="O56" s="9" t="str">
        <f t="shared" si="24"/>
        <v>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v>
      </c>
      <c r="P56" s="9" t="b">
        <f t="shared" si="24"/>
        <v>1</v>
      </c>
      <c r="Q56" s="9" t="b">
        <f t="shared" si="24"/>
        <v>1</v>
      </c>
      <c r="R56" s="9" t="b">
        <f t="shared" si="24"/>
        <v>1</v>
      </c>
      <c r="S56" s="9" t="b">
        <f t="shared" si="24"/>
        <v>0</v>
      </c>
      <c r="T56" s="9" t="str">
        <f t="shared" si="24"/>
        <v/>
      </c>
      <c r="U56" s="11" t="str">
        <f t="shared" si="24"/>
        <v>essential</v>
      </c>
    </row>
    <row r="57">
      <c r="A57" s="50"/>
      <c r="B57" s="156" t="s">
        <v>350</v>
      </c>
      <c r="C57" s="35">
        <f t="shared" si="4"/>
        <v>0</v>
      </c>
      <c r="D57" s="9" t="str">
        <f t="shared" ref="D57:I57" si="25">if($C16&gt;$C$45,D16,"")</f>
        <v/>
      </c>
      <c r="E57" s="114" t="str">
        <f t="shared" si="25"/>
        <v/>
      </c>
      <c r="F57" s="115" t="str">
        <f t="shared" si="25"/>
        <v/>
      </c>
      <c r="G57" s="115" t="str">
        <f t="shared" si="25"/>
        <v/>
      </c>
      <c r="H57" s="115" t="str">
        <f t="shared" si="25"/>
        <v/>
      </c>
      <c r="I57" s="115" t="str">
        <f t="shared" si="25"/>
        <v/>
      </c>
      <c r="J57" s="9"/>
      <c r="K57" s="114" t="str">
        <f t="shared" si="13"/>
        <v/>
      </c>
      <c r="L57" s="170" t="b">
        <v>0</v>
      </c>
      <c r="M57" s="9" t="str">
        <f t="shared" ref="M57:U57" si="26">if($L57=TRUE,C57,"")</f>
        <v/>
      </c>
      <c r="N57" s="9" t="str">
        <f t="shared" si="26"/>
        <v/>
      </c>
      <c r="O57" s="9" t="str">
        <f t="shared" si="26"/>
        <v/>
      </c>
      <c r="P57" s="9" t="str">
        <f t="shared" si="26"/>
        <v/>
      </c>
      <c r="Q57" s="9" t="str">
        <f t="shared" si="26"/>
        <v/>
      </c>
      <c r="R57" s="9" t="str">
        <f t="shared" si="26"/>
        <v/>
      </c>
      <c r="S57" s="9" t="str">
        <f t="shared" si="26"/>
        <v/>
      </c>
      <c r="T57" s="9" t="str">
        <f t="shared" si="26"/>
        <v/>
      </c>
      <c r="U57" s="11" t="str">
        <f t="shared" si="26"/>
        <v/>
      </c>
    </row>
    <row r="58">
      <c r="A58" s="85" t="s">
        <v>90</v>
      </c>
      <c r="B58" s="84" t="s">
        <v>95</v>
      </c>
      <c r="C58" s="42">
        <f t="shared" si="4"/>
        <v>0</v>
      </c>
      <c r="D58" s="9" t="str">
        <f t="shared" ref="D58:I58" si="27">if($C17&gt;$C$45,D17,"")</f>
        <v/>
      </c>
      <c r="E58" s="114" t="str">
        <f t="shared" si="27"/>
        <v/>
      </c>
      <c r="F58" s="115" t="str">
        <f t="shared" si="27"/>
        <v/>
      </c>
      <c r="G58" s="115" t="str">
        <f t="shared" si="27"/>
        <v/>
      </c>
      <c r="H58" s="115" t="str">
        <f t="shared" si="27"/>
        <v/>
      </c>
      <c r="I58" s="115" t="str">
        <f t="shared" si="27"/>
        <v/>
      </c>
      <c r="J58" s="9"/>
      <c r="K58" s="114" t="str">
        <f t="shared" si="13"/>
        <v/>
      </c>
      <c r="L58" s="170" t="b">
        <v>0</v>
      </c>
      <c r="M58" s="9" t="str">
        <f t="shared" ref="M58:U58" si="28">if($L58=TRUE,C58,"")</f>
        <v/>
      </c>
      <c r="N58" s="9" t="str">
        <f t="shared" si="28"/>
        <v/>
      </c>
      <c r="O58" s="9" t="str">
        <f t="shared" si="28"/>
        <v/>
      </c>
      <c r="P58" s="9" t="str">
        <f t="shared" si="28"/>
        <v/>
      </c>
      <c r="Q58" s="9" t="str">
        <f t="shared" si="28"/>
        <v/>
      </c>
      <c r="R58" s="9" t="str">
        <f t="shared" si="28"/>
        <v/>
      </c>
      <c r="S58" s="9" t="str">
        <f t="shared" si="28"/>
        <v/>
      </c>
      <c r="T58" s="9" t="str">
        <f t="shared" si="28"/>
        <v/>
      </c>
      <c r="U58" s="11" t="str">
        <f t="shared" si="28"/>
        <v/>
      </c>
    </row>
    <row r="59">
      <c r="A59" s="47"/>
      <c r="B59" s="47"/>
      <c r="C59" s="42">
        <f t="shared" si="4"/>
        <v>0</v>
      </c>
      <c r="D59" s="9" t="str">
        <f t="shared" ref="D59:I59" si="29">if($C18&gt;$C$45,D18,"")</f>
        <v/>
      </c>
      <c r="E59" s="114" t="str">
        <f t="shared" si="29"/>
        <v/>
      </c>
      <c r="F59" s="115" t="str">
        <f t="shared" si="29"/>
        <v/>
      </c>
      <c r="G59" s="115" t="str">
        <f t="shared" si="29"/>
        <v/>
      </c>
      <c r="H59" s="115" t="str">
        <f t="shared" si="29"/>
        <v/>
      </c>
      <c r="I59" s="115" t="str">
        <f t="shared" si="29"/>
        <v/>
      </c>
      <c r="J59" s="9"/>
      <c r="K59" s="114" t="str">
        <f t="shared" si="13"/>
        <v/>
      </c>
      <c r="L59" s="170" t="b">
        <v>0</v>
      </c>
      <c r="M59" s="9" t="str">
        <f t="shared" ref="M59:U59" si="30">if($L59=TRUE,C59,"")</f>
        <v/>
      </c>
      <c r="N59" s="9" t="str">
        <f t="shared" si="30"/>
        <v/>
      </c>
      <c r="O59" s="9" t="str">
        <f t="shared" si="30"/>
        <v/>
      </c>
      <c r="P59" s="9" t="str">
        <f t="shared" si="30"/>
        <v/>
      </c>
      <c r="Q59" s="9" t="str">
        <f t="shared" si="30"/>
        <v/>
      </c>
      <c r="R59" s="9" t="str">
        <f t="shared" si="30"/>
        <v/>
      </c>
      <c r="S59" s="9" t="str">
        <f t="shared" si="30"/>
        <v/>
      </c>
      <c r="T59" s="9" t="str">
        <f t="shared" si="30"/>
        <v/>
      </c>
      <c r="U59" s="11" t="str">
        <f t="shared" si="30"/>
        <v/>
      </c>
    </row>
    <row r="60">
      <c r="A60" s="50"/>
      <c r="B60" s="50"/>
      <c r="C60" s="35">
        <f t="shared" si="4"/>
        <v>0</v>
      </c>
      <c r="D60" s="9" t="str">
        <f t="shared" ref="D60:I60" si="31">if($C19&gt;$C$45,D19,"")</f>
        <v/>
      </c>
      <c r="E60" s="114" t="str">
        <f t="shared" si="31"/>
        <v/>
      </c>
      <c r="F60" s="115" t="str">
        <f t="shared" si="31"/>
        <v/>
      </c>
      <c r="G60" s="115" t="str">
        <f t="shared" si="31"/>
        <v/>
      </c>
      <c r="H60" s="115" t="str">
        <f t="shared" si="31"/>
        <v/>
      </c>
      <c r="I60" s="115" t="str">
        <f t="shared" si="31"/>
        <v/>
      </c>
      <c r="J60" s="9"/>
      <c r="K60" s="114" t="str">
        <f t="shared" si="13"/>
        <v/>
      </c>
      <c r="L60" s="167" t="b">
        <v>0</v>
      </c>
      <c r="M60" s="9" t="str">
        <f t="shared" ref="M60:U60" si="32">if($L60=TRUE,C60,"")</f>
        <v/>
      </c>
      <c r="N60" s="9" t="str">
        <f t="shared" si="32"/>
        <v/>
      </c>
      <c r="O60" s="9" t="str">
        <f t="shared" si="32"/>
        <v/>
      </c>
      <c r="P60" s="9" t="str">
        <f t="shared" si="32"/>
        <v/>
      </c>
      <c r="Q60" s="9" t="str">
        <f t="shared" si="32"/>
        <v/>
      </c>
      <c r="R60" s="9" t="str">
        <f t="shared" si="32"/>
        <v/>
      </c>
      <c r="S60" s="9" t="str">
        <f t="shared" si="32"/>
        <v/>
      </c>
      <c r="T60" s="9" t="str">
        <f t="shared" si="32"/>
        <v/>
      </c>
      <c r="U60" s="11" t="str">
        <f t="shared" si="32"/>
        <v/>
      </c>
    </row>
    <row r="61">
      <c r="A61" s="94" t="s">
        <v>124</v>
      </c>
      <c r="B61" s="110" t="s">
        <v>385</v>
      </c>
      <c r="C61" s="42">
        <f t="shared" si="4"/>
        <v>4</v>
      </c>
      <c r="D61" s="9" t="str">
        <f t="shared" ref="D61:I61" si="33">if($C20&gt;$C$45,D20,"")</f>
        <v>4.MD.A.1</v>
      </c>
      <c r="E61" s="114" t="str">
        <f t="shared" si="33"/>
        <v>Know relative sizes of measurement units within one system of units including km, m, cm; kg, g; lb, oz.; l, ml; hr, min, sec. Within a single system of measurement, express measurements in a larger unit in terms of a smaller unit. Record measurement equivalents in a twocolumn table. For example, know that 1 ft is 12 times as long as 1 in. Express the length of a 4 ft snake as 48 in. Generate a conversion table for feet and inches listing the number pairs (1, 12), (2, 24), (3, 36), ...</v>
      </c>
      <c r="F61" s="115" t="b">
        <f t="shared" si="33"/>
        <v>1</v>
      </c>
      <c r="G61" s="115" t="b">
        <f t="shared" si="33"/>
        <v>1</v>
      </c>
      <c r="H61" s="115" t="b">
        <f t="shared" si="33"/>
        <v>1</v>
      </c>
      <c r="I61" s="115" t="b">
        <f t="shared" si="33"/>
        <v>1</v>
      </c>
      <c r="J61" s="9"/>
      <c r="K61" s="114" t="str">
        <f t="shared" si="13"/>
        <v>Science</v>
      </c>
      <c r="L61" s="170" t="b">
        <v>0</v>
      </c>
      <c r="M61" s="9" t="str">
        <f t="shared" ref="M61:U61" si="34">if($L61=TRUE,C61,"")</f>
        <v/>
      </c>
      <c r="N61" s="9" t="str">
        <f t="shared" si="34"/>
        <v/>
      </c>
      <c r="O61" s="9" t="str">
        <f t="shared" si="34"/>
        <v/>
      </c>
      <c r="P61" s="9" t="str">
        <f t="shared" si="34"/>
        <v/>
      </c>
      <c r="Q61" s="9" t="str">
        <f t="shared" si="34"/>
        <v/>
      </c>
      <c r="R61" s="9" t="str">
        <f t="shared" si="34"/>
        <v/>
      </c>
      <c r="S61" s="9" t="str">
        <f t="shared" si="34"/>
        <v/>
      </c>
      <c r="T61" s="9" t="str">
        <f t="shared" si="34"/>
        <v/>
      </c>
      <c r="U61" s="11" t="str">
        <f t="shared" si="34"/>
        <v/>
      </c>
    </row>
    <row r="62">
      <c r="A62" s="47"/>
      <c r="B62" s="47"/>
      <c r="C62" s="42">
        <f t="shared" si="4"/>
        <v>4</v>
      </c>
      <c r="D62" s="9" t="str">
        <f t="shared" ref="D62:I62" si="35">if($C21&gt;$C$45,D21,"")</f>
        <v>4.MD.A.2</v>
      </c>
      <c r="E62" s="114" t="str">
        <f t="shared" si="35"/>
        <v>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v>
      </c>
      <c r="F62" s="115" t="b">
        <f t="shared" si="35"/>
        <v>1</v>
      </c>
      <c r="G62" s="115" t="b">
        <f t="shared" si="35"/>
        <v>1</v>
      </c>
      <c r="H62" s="115" t="b">
        <f t="shared" si="35"/>
        <v>1</v>
      </c>
      <c r="I62" s="115" t="b">
        <f t="shared" si="35"/>
        <v>1</v>
      </c>
      <c r="J62" s="9"/>
      <c r="K62" s="114" t="str">
        <f t="shared" si="13"/>
        <v>Dok 3</v>
      </c>
      <c r="L62" s="170" t="b">
        <v>0</v>
      </c>
      <c r="M62" s="9" t="str">
        <f t="shared" ref="M62:U62" si="36">if($L62=TRUE,C62,"")</f>
        <v/>
      </c>
      <c r="N62" s="9" t="str">
        <f t="shared" si="36"/>
        <v/>
      </c>
      <c r="O62" s="9" t="str">
        <f t="shared" si="36"/>
        <v/>
      </c>
      <c r="P62" s="9" t="str">
        <f t="shared" si="36"/>
        <v/>
      </c>
      <c r="Q62" s="9" t="str">
        <f t="shared" si="36"/>
        <v/>
      </c>
      <c r="R62" s="9" t="str">
        <f t="shared" si="36"/>
        <v/>
      </c>
      <c r="S62" s="9" t="str">
        <f t="shared" si="36"/>
        <v/>
      </c>
      <c r="T62" s="9" t="str">
        <f t="shared" si="36"/>
        <v/>
      </c>
      <c r="U62" s="11" t="str">
        <f t="shared" si="36"/>
        <v/>
      </c>
    </row>
    <row r="63">
      <c r="A63" s="47"/>
      <c r="B63" s="50"/>
      <c r="C63" s="35">
        <f t="shared" si="4"/>
        <v>3</v>
      </c>
      <c r="D63" s="9" t="str">
        <f t="shared" ref="D63:I63" si="37">if($C22&gt;$C$45,D22,"")</f>
        <v>4.MD.A.3</v>
      </c>
      <c r="E63" s="114" t="str">
        <f t="shared" si="37"/>
        <v>Apply the area and perimeter formulas for rectangles in real world and mathematical problems. For example, find the width of a rectangular room given the area of the flooring and the length, by viewing the area formula as a multiplication equation with an unknown factor.</v>
      </c>
      <c r="F63" s="115" t="b">
        <f t="shared" si="37"/>
        <v>1</v>
      </c>
      <c r="G63" s="115" t="b">
        <f t="shared" si="37"/>
        <v>1</v>
      </c>
      <c r="H63" s="115" t="b">
        <f t="shared" si="37"/>
        <v>0</v>
      </c>
      <c r="I63" s="115" t="b">
        <f t="shared" si="37"/>
        <v>1</v>
      </c>
      <c r="J63" s="9"/>
      <c r="K63" s="114" t="str">
        <f t="shared" si="13"/>
        <v>Dok 3</v>
      </c>
      <c r="L63" s="167" t="b">
        <v>1</v>
      </c>
      <c r="M63" s="9">
        <f t="shared" ref="M63:U63" si="38">if($L63=TRUE,C63,"")</f>
        <v>3</v>
      </c>
      <c r="N63" s="9" t="str">
        <f t="shared" si="38"/>
        <v>4.MD.A.3</v>
      </c>
      <c r="O63" s="9" t="str">
        <f t="shared" si="38"/>
        <v>Apply the area and perimeter formulas for rectangles in real world and mathematical problems. For example, find the width of a rectangular room given the area of the flooring and the length, by viewing the area formula as a multiplication equation with an unknown factor.</v>
      </c>
      <c r="P63" s="9" t="b">
        <f t="shared" si="38"/>
        <v>1</v>
      </c>
      <c r="Q63" s="9" t="b">
        <f t="shared" si="38"/>
        <v>1</v>
      </c>
      <c r="R63" s="9" t="b">
        <f t="shared" si="38"/>
        <v>0</v>
      </c>
      <c r="S63" s="9" t="b">
        <f t="shared" si="38"/>
        <v>1</v>
      </c>
      <c r="T63" s="9" t="str">
        <f t="shared" si="38"/>
        <v/>
      </c>
      <c r="U63" s="11" t="str">
        <f t="shared" si="38"/>
        <v>Dok 3</v>
      </c>
    </row>
    <row r="64">
      <c r="A64" s="47"/>
      <c r="B64" s="160" t="s">
        <v>157</v>
      </c>
      <c r="C64" s="35">
        <f t="shared" si="4"/>
        <v>0</v>
      </c>
      <c r="D64" s="9" t="str">
        <f t="shared" ref="D64:I64" si="39">if($C23&gt;$C$45,D23,"")</f>
        <v/>
      </c>
      <c r="E64" s="114" t="str">
        <f t="shared" si="39"/>
        <v/>
      </c>
      <c r="F64" s="115" t="str">
        <f t="shared" si="39"/>
        <v/>
      </c>
      <c r="G64" s="115" t="str">
        <f t="shared" si="39"/>
        <v/>
      </c>
      <c r="H64" s="115" t="str">
        <f t="shared" si="39"/>
        <v/>
      </c>
      <c r="I64" s="115" t="str">
        <f t="shared" si="39"/>
        <v/>
      </c>
      <c r="J64" s="9"/>
      <c r="K64" s="114" t="str">
        <f t="shared" si="13"/>
        <v/>
      </c>
      <c r="L64" s="170" t="b">
        <v>0</v>
      </c>
      <c r="M64" s="9" t="str">
        <f t="shared" ref="M64:U64" si="40">if($L64=TRUE,C64,"")</f>
        <v/>
      </c>
      <c r="N64" s="9" t="str">
        <f t="shared" si="40"/>
        <v/>
      </c>
      <c r="O64" s="9" t="str">
        <f t="shared" si="40"/>
        <v/>
      </c>
      <c r="P64" s="9" t="str">
        <f t="shared" si="40"/>
        <v/>
      </c>
      <c r="Q64" s="9" t="str">
        <f t="shared" si="40"/>
        <v/>
      </c>
      <c r="R64" s="9" t="str">
        <f t="shared" si="40"/>
        <v/>
      </c>
      <c r="S64" s="9" t="str">
        <f t="shared" si="40"/>
        <v/>
      </c>
      <c r="T64" s="9" t="str">
        <f t="shared" si="40"/>
        <v/>
      </c>
      <c r="U64" s="11" t="str">
        <f t="shared" si="40"/>
        <v/>
      </c>
    </row>
    <row r="65">
      <c r="A65" s="47"/>
      <c r="B65" s="117" t="s">
        <v>419</v>
      </c>
      <c r="C65" s="42">
        <f t="shared" si="4"/>
        <v>0</v>
      </c>
      <c r="D65" s="9" t="str">
        <f t="shared" ref="D65:I65" si="41">if($C24&gt;$C$45,D24,"")</f>
        <v/>
      </c>
      <c r="E65" s="114" t="str">
        <f t="shared" si="41"/>
        <v/>
      </c>
      <c r="F65" s="115" t="str">
        <f t="shared" si="41"/>
        <v/>
      </c>
      <c r="G65" s="115" t="str">
        <f t="shared" si="41"/>
        <v/>
      </c>
      <c r="H65" s="115" t="str">
        <f t="shared" si="41"/>
        <v/>
      </c>
      <c r="I65" s="115" t="str">
        <f t="shared" si="41"/>
        <v/>
      </c>
      <c r="J65" s="9"/>
      <c r="K65" s="114" t="str">
        <f t="shared" si="13"/>
        <v/>
      </c>
      <c r="L65" s="170" t="b">
        <v>0</v>
      </c>
      <c r="M65" s="9" t="str">
        <f t="shared" ref="M65:U65" si="42">if($L65=TRUE,C65,"")</f>
        <v/>
      </c>
      <c r="N65" s="9" t="str">
        <f t="shared" si="42"/>
        <v/>
      </c>
      <c r="O65" s="9" t="str">
        <f t="shared" si="42"/>
        <v/>
      </c>
      <c r="P65" s="9" t="str">
        <f t="shared" si="42"/>
        <v/>
      </c>
      <c r="Q65" s="9" t="str">
        <f t="shared" si="42"/>
        <v/>
      </c>
      <c r="R65" s="9" t="str">
        <f t="shared" si="42"/>
        <v/>
      </c>
      <c r="S65" s="9" t="str">
        <f t="shared" si="42"/>
        <v/>
      </c>
      <c r="T65" s="9" t="str">
        <f t="shared" si="42"/>
        <v/>
      </c>
      <c r="U65" s="11" t="str">
        <f t="shared" si="42"/>
        <v/>
      </c>
    </row>
    <row r="66">
      <c r="A66" s="47"/>
      <c r="B66" s="47"/>
      <c r="C66" s="42">
        <f t="shared" si="4"/>
        <v>0</v>
      </c>
      <c r="D66" s="9" t="str">
        <f t="shared" ref="D66:I66" si="43">if($C25&gt;$C$45,D25,"")</f>
        <v/>
      </c>
      <c r="E66" s="114" t="str">
        <f t="shared" si="43"/>
        <v/>
      </c>
      <c r="F66" s="115" t="str">
        <f t="shared" si="43"/>
        <v/>
      </c>
      <c r="G66" s="115" t="str">
        <f t="shared" si="43"/>
        <v/>
      </c>
      <c r="H66" s="115" t="str">
        <f t="shared" si="43"/>
        <v/>
      </c>
      <c r="I66" s="115" t="str">
        <f t="shared" si="43"/>
        <v/>
      </c>
      <c r="J66" s="9"/>
      <c r="K66" s="114" t="str">
        <f t="shared" si="13"/>
        <v/>
      </c>
      <c r="L66" s="170" t="b">
        <v>0</v>
      </c>
      <c r="M66" s="9" t="str">
        <f t="shared" ref="M66:U66" si="44">if($L66=TRUE,C66,"")</f>
        <v/>
      </c>
      <c r="N66" s="9" t="str">
        <f t="shared" si="44"/>
        <v/>
      </c>
      <c r="O66" s="9" t="str">
        <f t="shared" si="44"/>
        <v/>
      </c>
      <c r="P66" s="9" t="str">
        <f t="shared" si="44"/>
        <v/>
      </c>
      <c r="Q66" s="9" t="str">
        <f t="shared" si="44"/>
        <v/>
      </c>
      <c r="R66" s="9" t="str">
        <f t="shared" si="44"/>
        <v/>
      </c>
      <c r="S66" s="9" t="str">
        <f t="shared" si="44"/>
        <v/>
      </c>
      <c r="T66" s="9" t="str">
        <f t="shared" si="44"/>
        <v/>
      </c>
      <c r="U66" s="11" t="str">
        <f t="shared" si="44"/>
        <v/>
      </c>
    </row>
    <row r="67">
      <c r="A67" s="47"/>
      <c r="B67" s="47"/>
      <c r="C67" s="42">
        <f t="shared" si="4"/>
        <v>0</v>
      </c>
      <c r="D67" s="9" t="str">
        <f t="shared" ref="D67:I67" si="45">if($C26&gt;$C$45,D26,"")</f>
        <v/>
      </c>
      <c r="E67" s="114" t="str">
        <f t="shared" si="45"/>
        <v/>
      </c>
      <c r="F67" s="115" t="str">
        <f t="shared" si="45"/>
        <v/>
      </c>
      <c r="G67" s="115" t="str">
        <f t="shared" si="45"/>
        <v/>
      </c>
      <c r="H67" s="115" t="str">
        <f t="shared" si="45"/>
        <v/>
      </c>
      <c r="I67" s="115" t="str">
        <f t="shared" si="45"/>
        <v/>
      </c>
      <c r="J67" s="9"/>
      <c r="K67" s="114" t="str">
        <f t="shared" si="13"/>
        <v/>
      </c>
      <c r="L67" s="170" t="b">
        <v>0</v>
      </c>
      <c r="M67" s="9" t="str">
        <f t="shared" ref="M67:U67" si="46">if($L67=TRUE,C67,"")</f>
        <v/>
      </c>
      <c r="N67" s="9" t="str">
        <f t="shared" si="46"/>
        <v/>
      </c>
      <c r="O67" s="9" t="str">
        <f t="shared" si="46"/>
        <v/>
      </c>
      <c r="P67" s="9" t="str">
        <f t="shared" si="46"/>
        <v/>
      </c>
      <c r="Q67" s="9" t="str">
        <f t="shared" si="46"/>
        <v/>
      </c>
      <c r="R67" s="9" t="str">
        <f t="shared" si="46"/>
        <v/>
      </c>
      <c r="S67" s="9" t="str">
        <f t="shared" si="46"/>
        <v/>
      </c>
      <c r="T67" s="9" t="str">
        <f t="shared" si="46"/>
        <v/>
      </c>
      <c r="U67" s="11" t="str">
        <f t="shared" si="46"/>
        <v/>
      </c>
    </row>
    <row r="68">
      <c r="A68" s="47"/>
      <c r="B68" s="47"/>
      <c r="C68" s="42">
        <f t="shared" si="4"/>
        <v>0</v>
      </c>
      <c r="D68" s="9" t="str">
        <f t="shared" ref="D68:I68" si="47">if($C27&gt;$C$45,D27,"")</f>
        <v/>
      </c>
      <c r="E68" s="114" t="str">
        <f t="shared" si="47"/>
        <v/>
      </c>
      <c r="F68" s="115" t="str">
        <f t="shared" si="47"/>
        <v/>
      </c>
      <c r="G68" s="115" t="str">
        <f t="shared" si="47"/>
        <v/>
      </c>
      <c r="H68" s="115" t="str">
        <f t="shared" si="47"/>
        <v/>
      </c>
      <c r="I68" s="115" t="str">
        <f t="shared" si="47"/>
        <v/>
      </c>
      <c r="J68" s="9"/>
      <c r="K68" s="114" t="str">
        <f t="shared" si="13"/>
        <v/>
      </c>
      <c r="L68" s="170" t="b">
        <v>0</v>
      </c>
      <c r="M68" s="9" t="str">
        <f t="shared" ref="M68:U68" si="48">if($L68=TRUE,C68,"")</f>
        <v/>
      </c>
      <c r="N68" s="9" t="str">
        <f t="shared" si="48"/>
        <v/>
      </c>
      <c r="O68" s="9" t="str">
        <f t="shared" si="48"/>
        <v/>
      </c>
      <c r="P68" s="9" t="str">
        <f t="shared" si="48"/>
        <v/>
      </c>
      <c r="Q68" s="9" t="str">
        <f t="shared" si="48"/>
        <v/>
      </c>
      <c r="R68" s="9" t="str">
        <f t="shared" si="48"/>
        <v/>
      </c>
      <c r="S68" s="9" t="str">
        <f t="shared" si="48"/>
        <v/>
      </c>
      <c r="T68" s="9" t="str">
        <f t="shared" si="48"/>
        <v/>
      </c>
      <c r="U68" s="11" t="str">
        <f t="shared" si="48"/>
        <v/>
      </c>
    </row>
    <row r="69">
      <c r="A69" s="50"/>
      <c r="B69" s="50"/>
      <c r="C69" s="35">
        <f t="shared" si="4"/>
        <v>0</v>
      </c>
      <c r="D69" s="9" t="str">
        <f t="shared" ref="D69:I69" si="49">if($C28&gt;$C$45,D28,"")</f>
        <v/>
      </c>
      <c r="E69" s="114" t="str">
        <f t="shared" si="49"/>
        <v/>
      </c>
      <c r="F69" s="115" t="str">
        <f t="shared" si="49"/>
        <v/>
      </c>
      <c r="G69" s="115" t="str">
        <f t="shared" si="49"/>
        <v/>
      </c>
      <c r="H69" s="115" t="str">
        <f t="shared" si="49"/>
        <v/>
      </c>
      <c r="I69" s="115" t="str">
        <f t="shared" si="49"/>
        <v/>
      </c>
      <c r="J69" s="9"/>
      <c r="K69" s="114" t="str">
        <f t="shared" si="13"/>
        <v/>
      </c>
      <c r="L69" s="170" t="b">
        <v>0</v>
      </c>
      <c r="M69" s="9" t="str">
        <f t="shared" ref="M69:U69" si="50">if($L69=TRUE,C69,"")</f>
        <v/>
      </c>
      <c r="N69" s="9" t="str">
        <f t="shared" si="50"/>
        <v/>
      </c>
      <c r="O69" s="9" t="str">
        <f t="shared" si="50"/>
        <v/>
      </c>
      <c r="P69" s="9" t="str">
        <f t="shared" si="50"/>
        <v/>
      </c>
      <c r="Q69" s="9" t="str">
        <f t="shared" si="50"/>
        <v/>
      </c>
      <c r="R69" s="9" t="str">
        <f t="shared" si="50"/>
        <v/>
      </c>
      <c r="S69" s="9" t="str">
        <f t="shared" si="50"/>
        <v/>
      </c>
      <c r="T69" s="9" t="str">
        <f t="shared" si="50"/>
        <v/>
      </c>
      <c r="U69" s="11" t="str">
        <f t="shared" si="50"/>
        <v/>
      </c>
    </row>
    <row r="70">
      <c r="A70" s="161" t="s">
        <v>458</v>
      </c>
      <c r="B70" s="162" t="s">
        <v>465</v>
      </c>
      <c r="C70" s="42">
        <f t="shared" si="4"/>
        <v>4</v>
      </c>
      <c r="D70" s="9" t="str">
        <f t="shared" ref="D70:I70" si="51">if($C29&gt;$C$45,D29,"")</f>
        <v>4.NF.A.1</v>
      </c>
      <c r="E70" s="114" t="str">
        <f t="shared" si="51"/>
        <v>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v>
      </c>
      <c r="F70" s="115" t="b">
        <f t="shared" si="51"/>
        <v>1</v>
      </c>
      <c r="G70" s="115" t="b">
        <f t="shared" si="51"/>
        <v>1</v>
      </c>
      <c r="H70" s="115" t="b">
        <f t="shared" si="51"/>
        <v>1</v>
      </c>
      <c r="I70" s="115" t="b">
        <f t="shared" si="51"/>
        <v>1</v>
      </c>
      <c r="J70" s="9"/>
      <c r="K70" s="114" t="str">
        <f t="shared" si="13"/>
        <v/>
      </c>
      <c r="L70" s="167" t="b">
        <v>1</v>
      </c>
      <c r="M70" s="9">
        <f t="shared" ref="M70:U70" si="52">if($L70=TRUE,C70,"")</f>
        <v>4</v>
      </c>
      <c r="N70" s="9" t="str">
        <f t="shared" si="52"/>
        <v>4.NF.A.1</v>
      </c>
      <c r="O70" s="9" t="str">
        <f t="shared" si="52"/>
        <v>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v>
      </c>
      <c r="P70" s="9" t="b">
        <f t="shared" si="52"/>
        <v>1</v>
      </c>
      <c r="Q70" s="9" t="b">
        <f t="shared" si="52"/>
        <v>1</v>
      </c>
      <c r="R70" s="9" t="b">
        <f t="shared" si="52"/>
        <v>1</v>
      </c>
      <c r="S70" s="9" t="b">
        <f t="shared" si="52"/>
        <v>1</v>
      </c>
      <c r="T70" s="9" t="str">
        <f t="shared" si="52"/>
        <v/>
      </c>
      <c r="U70" s="11" t="str">
        <f t="shared" si="52"/>
        <v/>
      </c>
    </row>
    <row r="71">
      <c r="A71" s="47"/>
      <c r="B71" s="50"/>
      <c r="C71" s="35">
        <f t="shared" si="4"/>
        <v>4</v>
      </c>
      <c r="D71" s="9" t="str">
        <f t="shared" ref="D71:I71" si="53">if($C30&gt;$C$45,D30,"")</f>
        <v>4.NF.A.2</v>
      </c>
      <c r="E71" s="114" t="str">
        <f t="shared" si="53"/>
        <v>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v>
      </c>
      <c r="F71" s="115" t="b">
        <f t="shared" si="53"/>
        <v>1</v>
      </c>
      <c r="G71" s="115" t="b">
        <f t="shared" si="53"/>
        <v>1</v>
      </c>
      <c r="H71" s="115" t="b">
        <f t="shared" si="53"/>
        <v>1</v>
      </c>
      <c r="I71" s="115" t="b">
        <f t="shared" si="53"/>
        <v>1</v>
      </c>
      <c r="J71" s="9"/>
      <c r="K71" s="114" t="str">
        <f t="shared" si="13"/>
        <v/>
      </c>
      <c r="L71" s="167" t="b">
        <v>1</v>
      </c>
      <c r="M71" s="9">
        <f t="shared" ref="M71:U71" si="54">if($L71=TRUE,C71,"")</f>
        <v>4</v>
      </c>
      <c r="N71" s="9" t="str">
        <f t="shared" si="54"/>
        <v>4.NF.A.2</v>
      </c>
      <c r="O71" s="9" t="str">
        <f t="shared" si="54"/>
        <v>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v>
      </c>
      <c r="P71" s="9" t="b">
        <f t="shared" si="54"/>
        <v>1</v>
      </c>
      <c r="Q71" s="9" t="b">
        <f t="shared" si="54"/>
        <v>1</v>
      </c>
      <c r="R71" s="9" t="b">
        <f t="shared" si="54"/>
        <v>1</v>
      </c>
      <c r="S71" s="9" t="b">
        <f t="shared" si="54"/>
        <v>1</v>
      </c>
      <c r="T71" s="9" t="str">
        <f t="shared" si="54"/>
        <v/>
      </c>
      <c r="U71" s="11" t="str">
        <f t="shared" si="54"/>
        <v/>
      </c>
    </row>
    <row r="72">
      <c r="A72" s="47"/>
      <c r="B72" s="164" t="s">
        <v>480</v>
      </c>
      <c r="C72" s="42">
        <f t="shared" si="4"/>
        <v>0</v>
      </c>
      <c r="D72" s="9" t="str">
        <f t="shared" ref="D72:I72" si="55">if($C31&gt;$C$45,D31,"")</f>
        <v/>
      </c>
      <c r="E72" s="114" t="str">
        <f t="shared" si="55"/>
        <v/>
      </c>
      <c r="F72" s="115" t="str">
        <f t="shared" si="55"/>
        <v/>
      </c>
      <c r="G72" s="115" t="str">
        <f t="shared" si="55"/>
        <v/>
      </c>
      <c r="H72" s="115" t="str">
        <f t="shared" si="55"/>
        <v/>
      </c>
      <c r="I72" s="115" t="str">
        <f t="shared" si="55"/>
        <v/>
      </c>
      <c r="J72" s="9"/>
      <c r="K72" s="114" t="str">
        <f t="shared" si="13"/>
        <v/>
      </c>
      <c r="L72" s="170" t="b">
        <v>0</v>
      </c>
      <c r="M72" s="9" t="str">
        <f t="shared" ref="M72:U72" si="56">if($L72=TRUE,C72,"")</f>
        <v/>
      </c>
      <c r="N72" s="9" t="str">
        <f t="shared" si="56"/>
        <v/>
      </c>
      <c r="O72" s="9" t="str">
        <f t="shared" si="56"/>
        <v/>
      </c>
      <c r="P72" s="9" t="str">
        <f t="shared" si="56"/>
        <v/>
      </c>
      <c r="Q72" s="9" t="str">
        <f t="shared" si="56"/>
        <v/>
      </c>
      <c r="R72" s="9" t="str">
        <f t="shared" si="56"/>
        <v/>
      </c>
      <c r="S72" s="9" t="str">
        <f t="shared" si="56"/>
        <v/>
      </c>
      <c r="T72" s="9" t="str">
        <f t="shared" si="56"/>
        <v/>
      </c>
      <c r="U72" s="11" t="str">
        <f t="shared" si="56"/>
        <v/>
      </c>
    </row>
    <row r="73">
      <c r="A73" s="47"/>
      <c r="B73" s="47"/>
      <c r="C73" s="42">
        <f t="shared" si="4"/>
        <v>4</v>
      </c>
      <c r="D73" s="9" t="str">
        <f t="shared" ref="D73:I73" si="57">if($C32&gt;$C$45,D32,"")</f>
        <v>4.NF.B.3a</v>
      </c>
      <c r="E73" s="114" t="str">
        <f t="shared" si="57"/>
        <v>Understand addition and subtraction of fractions as joining and separating parts referring to the same whole.</v>
      </c>
      <c r="F73" s="115" t="b">
        <f t="shared" si="57"/>
        <v>1</v>
      </c>
      <c r="G73" s="115" t="b">
        <f t="shared" si="57"/>
        <v>1</v>
      </c>
      <c r="H73" s="115" t="b">
        <f t="shared" si="57"/>
        <v>1</v>
      </c>
      <c r="I73" s="115" t="b">
        <f t="shared" si="57"/>
        <v>1</v>
      </c>
      <c r="J73" s="9"/>
      <c r="K73" s="114" t="str">
        <f t="shared" si="13"/>
        <v/>
      </c>
      <c r="L73" s="167" t="b">
        <v>1</v>
      </c>
      <c r="M73" s="9">
        <f t="shared" ref="M73:U73" si="58">if($L73=TRUE,C73,"")</f>
        <v>4</v>
      </c>
      <c r="N73" s="9" t="str">
        <f t="shared" si="58"/>
        <v>4.NF.B.3a</v>
      </c>
      <c r="O73" s="9" t="str">
        <f t="shared" si="58"/>
        <v>Understand addition and subtraction of fractions as joining and separating parts referring to the same whole.</v>
      </c>
      <c r="P73" s="9" t="b">
        <f t="shared" si="58"/>
        <v>1</v>
      </c>
      <c r="Q73" s="9" t="b">
        <f t="shared" si="58"/>
        <v>1</v>
      </c>
      <c r="R73" s="9" t="b">
        <f t="shared" si="58"/>
        <v>1</v>
      </c>
      <c r="S73" s="9" t="b">
        <f t="shared" si="58"/>
        <v>1</v>
      </c>
      <c r="T73" s="9" t="str">
        <f t="shared" si="58"/>
        <v/>
      </c>
      <c r="U73" s="11" t="str">
        <f t="shared" si="58"/>
        <v/>
      </c>
    </row>
    <row r="74">
      <c r="A74" s="47"/>
      <c r="B74" s="47"/>
      <c r="C74" s="42">
        <f t="shared" si="4"/>
        <v>4</v>
      </c>
      <c r="D74" s="9" t="str">
        <f t="shared" ref="D74:I74" si="59">if($C33&gt;$C$45,D33,"")</f>
        <v>4.NF.B.3b</v>
      </c>
      <c r="E74" s="114" t="str">
        <f t="shared" si="59"/>
        <v>Decompose a fraction into a sum of fractions with the same denominator in more than one way, recording each decomposition by an equation. Justify decompositions, e.g., by using a visual fraction model. Examples: 3/8 = 1/8 + 1/8 + 1/8 ; 3/8 = 1/8 + 2/8 ; 2 1/8 = 1 + 1 + 1/8 = 8/8 + 8/8 + 1/8.</v>
      </c>
      <c r="F74" s="115" t="b">
        <f t="shared" si="59"/>
        <v>1</v>
      </c>
      <c r="G74" s="115" t="b">
        <f t="shared" si="59"/>
        <v>1</v>
      </c>
      <c r="H74" s="115" t="b">
        <f t="shared" si="59"/>
        <v>1</v>
      </c>
      <c r="I74" s="115" t="b">
        <f t="shared" si="59"/>
        <v>1</v>
      </c>
      <c r="J74" s="9"/>
      <c r="K74" s="114" t="str">
        <f t="shared" si="13"/>
        <v>3a and 3b go together (teach b before a)
Both are prerequisites for 3c</v>
      </c>
      <c r="L74" s="170" t="b">
        <v>0</v>
      </c>
      <c r="M74" s="9" t="str">
        <f t="shared" ref="M74:U74" si="60">if($L74=TRUE,C74,"")</f>
        <v/>
      </c>
      <c r="N74" s="9" t="str">
        <f t="shared" si="60"/>
        <v/>
      </c>
      <c r="O74" s="9" t="str">
        <f t="shared" si="60"/>
        <v/>
      </c>
      <c r="P74" s="9" t="str">
        <f t="shared" si="60"/>
        <v/>
      </c>
      <c r="Q74" s="9" t="str">
        <f t="shared" si="60"/>
        <v/>
      </c>
      <c r="R74" s="9" t="str">
        <f t="shared" si="60"/>
        <v/>
      </c>
      <c r="S74" s="9" t="str">
        <f t="shared" si="60"/>
        <v/>
      </c>
      <c r="T74" s="9" t="str">
        <f t="shared" si="60"/>
        <v/>
      </c>
      <c r="U74" s="11" t="str">
        <f t="shared" si="60"/>
        <v/>
      </c>
    </row>
    <row r="75">
      <c r="A75" s="47"/>
      <c r="B75" s="47"/>
      <c r="C75" s="42">
        <f t="shared" si="4"/>
        <v>4</v>
      </c>
      <c r="D75" s="9" t="str">
        <f t="shared" ref="D75:I75" si="61">if($C34&gt;$C$45,D34,"")</f>
        <v>4.NF.B.3c</v>
      </c>
      <c r="E75" s="114" t="str">
        <f t="shared" si="61"/>
        <v>Add and subtract mixed numbers with like denominators, e.g., by replacing each mixed number with an equivalent fraction, and/or by using properties of operations and the relationship between addition and subtraction.</v>
      </c>
      <c r="F75" s="115" t="b">
        <f t="shared" si="61"/>
        <v>1</v>
      </c>
      <c r="G75" s="115" t="b">
        <f t="shared" si="61"/>
        <v>1</v>
      </c>
      <c r="H75" s="115" t="b">
        <f t="shared" si="61"/>
        <v>1</v>
      </c>
      <c r="I75" s="115" t="b">
        <f t="shared" si="61"/>
        <v>1</v>
      </c>
      <c r="J75" s="9"/>
      <c r="K75" s="114" t="str">
        <f t="shared" si="13"/>
        <v/>
      </c>
      <c r="L75" s="167" t="b">
        <v>1</v>
      </c>
      <c r="M75" s="9">
        <f t="shared" ref="M75:U75" si="62">if($L75=TRUE,C75,"")</f>
        <v>4</v>
      </c>
      <c r="N75" s="9" t="str">
        <f t="shared" si="62"/>
        <v>4.NF.B.3c</v>
      </c>
      <c r="O75" s="9" t="str">
        <f t="shared" si="62"/>
        <v>Add and subtract mixed numbers with like denominators, e.g., by replacing each mixed number with an equivalent fraction, and/or by using properties of operations and the relationship between addition and subtraction.</v>
      </c>
      <c r="P75" s="9" t="b">
        <f t="shared" si="62"/>
        <v>1</v>
      </c>
      <c r="Q75" s="9" t="b">
        <f t="shared" si="62"/>
        <v>1</v>
      </c>
      <c r="R75" s="9" t="b">
        <f t="shared" si="62"/>
        <v>1</v>
      </c>
      <c r="S75" s="9" t="b">
        <f t="shared" si="62"/>
        <v>1</v>
      </c>
      <c r="T75" s="9" t="str">
        <f t="shared" si="62"/>
        <v/>
      </c>
      <c r="U75" s="11" t="str">
        <f t="shared" si="62"/>
        <v/>
      </c>
    </row>
    <row r="76">
      <c r="A76" s="47"/>
      <c r="B76" s="47"/>
      <c r="C76" s="42">
        <f t="shared" si="4"/>
        <v>0</v>
      </c>
      <c r="D76" s="9" t="str">
        <f t="shared" ref="D76:I76" si="63">if($C35&gt;$C$45,D35,"")</f>
        <v/>
      </c>
      <c r="E76" s="114" t="str">
        <f t="shared" si="63"/>
        <v/>
      </c>
      <c r="F76" s="115" t="str">
        <f t="shared" si="63"/>
        <v/>
      </c>
      <c r="G76" s="115" t="str">
        <f t="shared" si="63"/>
        <v/>
      </c>
      <c r="H76" s="115" t="str">
        <f t="shared" si="63"/>
        <v/>
      </c>
      <c r="I76" s="115" t="str">
        <f t="shared" si="63"/>
        <v/>
      </c>
      <c r="J76" s="9"/>
      <c r="K76" s="114" t="str">
        <f t="shared" si="13"/>
        <v/>
      </c>
      <c r="L76" s="170" t="b">
        <v>0</v>
      </c>
      <c r="M76" s="9" t="str">
        <f t="shared" ref="M76:U76" si="64">if($L76=TRUE,C76,"")</f>
        <v/>
      </c>
      <c r="N76" s="9" t="str">
        <f t="shared" si="64"/>
        <v/>
      </c>
      <c r="O76" s="9" t="str">
        <f t="shared" si="64"/>
        <v/>
      </c>
      <c r="P76" s="9" t="str">
        <f t="shared" si="64"/>
        <v/>
      </c>
      <c r="Q76" s="9" t="str">
        <f t="shared" si="64"/>
        <v/>
      </c>
      <c r="R76" s="9" t="str">
        <f t="shared" si="64"/>
        <v/>
      </c>
      <c r="S76" s="9" t="str">
        <f t="shared" si="64"/>
        <v/>
      </c>
      <c r="T76" s="9" t="str">
        <f t="shared" si="64"/>
        <v/>
      </c>
      <c r="U76" s="11" t="str">
        <f t="shared" si="64"/>
        <v/>
      </c>
    </row>
    <row r="77">
      <c r="A77" s="47"/>
      <c r="B77" s="47"/>
      <c r="C77" s="42">
        <f t="shared" si="4"/>
        <v>0</v>
      </c>
      <c r="D77" s="9" t="str">
        <f t="shared" ref="D77:I77" si="65">if($C36&gt;$C$45,D36,"")</f>
        <v/>
      </c>
      <c r="E77" s="114" t="str">
        <f t="shared" si="65"/>
        <v/>
      </c>
      <c r="F77" s="115" t="str">
        <f t="shared" si="65"/>
        <v/>
      </c>
      <c r="G77" s="115" t="str">
        <f t="shared" si="65"/>
        <v/>
      </c>
      <c r="H77" s="115" t="str">
        <f t="shared" si="65"/>
        <v/>
      </c>
      <c r="I77" s="115" t="str">
        <f t="shared" si="65"/>
        <v/>
      </c>
      <c r="J77" s="9"/>
      <c r="K77" s="114" t="str">
        <f t="shared" si="13"/>
        <v/>
      </c>
      <c r="L77" s="170" t="b">
        <v>0</v>
      </c>
      <c r="M77" s="9" t="str">
        <f t="shared" ref="M77:U77" si="66">if($L77=TRUE,C77,"")</f>
        <v/>
      </c>
      <c r="N77" s="9" t="str">
        <f t="shared" si="66"/>
        <v/>
      </c>
      <c r="O77" s="9" t="str">
        <f t="shared" si="66"/>
        <v/>
      </c>
      <c r="P77" s="9" t="str">
        <f t="shared" si="66"/>
        <v/>
      </c>
      <c r="Q77" s="9" t="str">
        <f t="shared" si="66"/>
        <v/>
      </c>
      <c r="R77" s="9" t="str">
        <f t="shared" si="66"/>
        <v/>
      </c>
      <c r="S77" s="9" t="str">
        <f t="shared" si="66"/>
        <v/>
      </c>
      <c r="T77" s="9" t="str">
        <f t="shared" si="66"/>
        <v/>
      </c>
      <c r="U77" s="11" t="str">
        <f t="shared" si="66"/>
        <v/>
      </c>
    </row>
    <row r="78">
      <c r="A78" s="47"/>
      <c r="B78" s="47"/>
      <c r="C78" s="42">
        <f t="shared" si="4"/>
        <v>4</v>
      </c>
      <c r="D78" s="9" t="str">
        <f t="shared" ref="D78:I78" si="67">if($C37&gt;$C$45,D37,"")</f>
        <v>4.NF.B.4a</v>
      </c>
      <c r="E78" s="114" t="str">
        <f t="shared" si="67"/>
        <v>Understand a fraction a/b as a multiple of 1/b. For example, use a visual fraction model to represent 5/4 as the product 5 × (1/4), recording the conclusion by the equation 5/4 = 5 × (1/4).</v>
      </c>
      <c r="F78" s="115" t="b">
        <f t="shared" si="67"/>
        <v>1</v>
      </c>
      <c r="G78" s="115" t="b">
        <f t="shared" si="67"/>
        <v>1</v>
      </c>
      <c r="H78" s="115" t="b">
        <f t="shared" si="67"/>
        <v>1</v>
      </c>
      <c r="I78" s="115" t="b">
        <f t="shared" si="67"/>
        <v>1</v>
      </c>
      <c r="J78" s="9"/>
      <c r="K78" s="114" t="str">
        <f t="shared" si="13"/>
        <v>R - Necessary for the following grades
E - </v>
      </c>
      <c r="L78" s="167" t="b">
        <v>1</v>
      </c>
      <c r="M78" s="9">
        <f t="shared" ref="M78:U78" si="68">if($L78=TRUE,C78,"")</f>
        <v>4</v>
      </c>
      <c r="N78" s="9" t="str">
        <f t="shared" si="68"/>
        <v>4.NF.B.4a</v>
      </c>
      <c r="O78" s="9" t="str">
        <f t="shared" si="68"/>
        <v>Understand a fraction a/b as a multiple of 1/b. For example, use a visual fraction model to represent 5/4 as the product 5 × (1/4), recording the conclusion by the equation 5/4 = 5 × (1/4).</v>
      </c>
      <c r="P78" s="9" t="b">
        <f t="shared" si="68"/>
        <v>1</v>
      </c>
      <c r="Q78" s="9" t="b">
        <f t="shared" si="68"/>
        <v>1</v>
      </c>
      <c r="R78" s="9" t="b">
        <f t="shared" si="68"/>
        <v>1</v>
      </c>
      <c r="S78" s="9" t="b">
        <f t="shared" si="68"/>
        <v>1</v>
      </c>
      <c r="T78" s="9" t="str">
        <f t="shared" si="68"/>
        <v/>
      </c>
      <c r="U78" s="11" t="str">
        <f t="shared" si="68"/>
        <v>R - Necessary for the following grades
E - </v>
      </c>
    </row>
    <row r="79">
      <c r="A79" s="47"/>
      <c r="B79" s="47"/>
      <c r="C79" s="42">
        <f t="shared" si="4"/>
        <v>0</v>
      </c>
      <c r="D79" s="9" t="str">
        <f t="shared" ref="D79:I79" si="69">if($C38&gt;$C$45,D38,"")</f>
        <v/>
      </c>
      <c r="E79" s="114" t="str">
        <f t="shared" si="69"/>
        <v/>
      </c>
      <c r="F79" s="115" t="str">
        <f t="shared" si="69"/>
        <v/>
      </c>
      <c r="G79" s="115" t="str">
        <f t="shared" si="69"/>
        <v/>
      </c>
      <c r="H79" s="115" t="str">
        <f t="shared" si="69"/>
        <v/>
      </c>
      <c r="I79" s="115" t="str">
        <f t="shared" si="69"/>
        <v/>
      </c>
      <c r="J79" s="9"/>
      <c r="K79" s="114" t="str">
        <f t="shared" si="13"/>
        <v/>
      </c>
      <c r="L79" s="170" t="b">
        <v>0</v>
      </c>
      <c r="M79" s="9" t="str">
        <f t="shared" ref="M79:U79" si="70">if($L79=TRUE,C79,"")</f>
        <v/>
      </c>
      <c r="N79" s="9" t="str">
        <f t="shared" si="70"/>
        <v/>
      </c>
      <c r="O79" s="9" t="str">
        <f t="shared" si="70"/>
        <v/>
      </c>
      <c r="P79" s="9" t="str">
        <f t="shared" si="70"/>
        <v/>
      </c>
      <c r="Q79" s="9" t="str">
        <f t="shared" si="70"/>
        <v/>
      </c>
      <c r="R79" s="9" t="str">
        <f t="shared" si="70"/>
        <v/>
      </c>
      <c r="S79" s="9" t="str">
        <f t="shared" si="70"/>
        <v/>
      </c>
      <c r="T79" s="9" t="str">
        <f t="shared" si="70"/>
        <v/>
      </c>
      <c r="U79" s="11" t="str">
        <f t="shared" si="70"/>
        <v/>
      </c>
    </row>
    <row r="80">
      <c r="A80" s="47"/>
      <c r="B80" s="50"/>
      <c r="C80" s="35">
        <f t="shared" si="4"/>
        <v>4</v>
      </c>
      <c r="D80" s="9" t="str">
        <f t="shared" ref="D80:I80" si="71">if($C39&gt;$C$45,D39,"")</f>
        <v>4.NF.B.4c</v>
      </c>
      <c r="E80" s="114" t="str">
        <f t="shared" si="71"/>
        <v>Solve word problems involving multiplication of a fraction by a whole number, e.g., by using visual fraction models and equations to represent the problem. For example, if each person at a party will eat 3/8 of a pound of roast beef, and there will be 5 people at the party, how many pounds of roast beef will be needed? Between what two whole numbers does your answer lie?</v>
      </c>
      <c r="F80" s="115" t="b">
        <f t="shared" si="71"/>
        <v>1</v>
      </c>
      <c r="G80" s="115" t="b">
        <f t="shared" si="71"/>
        <v>1</v>
      </c>
      <c r="H80" s="115" t="b">
        <f t="shared" si="71"/>
        <v>1</v>
      </c>
      <c r="I80" s="115" t="b">
        <f t="shared" si="71"/>
        <v>1</v>
      </c>
      <c r="J80" s="9"/>
      <c r="K80" s="114" t="str">
        <f t="shared" si="13"/>
        <v>DOK 3 assessment questions</v>
      </c>
      <c r="L80" s="170" t="b">
        <v>0</v>
      </c>
      <c r="M80" s="9" t="str">
        <f t="shared" ref="M80:U80" si="72">if($L80=TRUE,C80,"")</f>
        <v/>
      </c>
      <c r="N80" s="9" t="str">
        <f t="shared" si="72"/>
        <v/>
      </c>
      <c r="O80" s="9" t="str">
        <f t="shared" si="72"/>
        <v/>
      </c>
      <c r="P80" s="9" t="str">
        <f t="shared" si="72"/>
        <v/>
      </c>
      <c r="Q80" s="9" t="str">
        <f t="shared" si="72"/>
        <v/>
      </c>
      <c r="R80" s="9" t="str">
        <f t="shared" si="72"/>
        <v/>
      </c>
      <c r="S80" s="9" t="str">
        <f t="shared" si="72"/>
        <v/>
      </c>
      <c r="T80" s="9" t="str">
        <f t="shared" si="72"/>
        <v/>
      </c>
      <c r="U80" s="11" t="str">
        <f t="shared" si="72"/>
        <v/>
      </c>
    </row>
    <row r="81">
      <c r="A81" s="47"/>
      <c r="B81" s="166" t="s">
        <v>536</v>
      </c>
      <c r="C81" s="42">
        <f t="shared" si="4"/>
        <v>0</v>
      </c>
      <c r="D81" s="9" t="str">
        <f t="shared" ref="D81:I81" si="73">if($C40&gt;$C$45,D40,"")</f>
        <v/>
      </c>
      <c r="E81" s="114" t="str">
        <f t="shared" si="73"/>
        <v/>
      </c>
      <c r="F81" s="115" t="str">
        <f t="shared" si="73"/>
        <v/>
      </c>
      <c r="G81" s="115" t="str">
        <f t="shared" si="73"/>
        <v/>
      </c>
      <c r="H81" s="115" t="str">
        <f t="shared" si="73"/>
        <v/>
      </c>
      <c r="I81" s="115" t="str">
        <f t="shared" si="73"/>
        <v/>
      </c>
      <c r="J81" s="9"/>
      <c r="K81" s="114" t="str">
        <f t="shared" si="13"/>
        <v/>
      </c>
      <c r="L81" s="167" t="b">
        <v>0</v>
      </c>
      <c r="M81" s="9" t="str">
        <f t="shared" ref="M81:U81" si="74">if($L81=TRUE,C81,"")</f>
        <v/>
      </c>
      <c r="N81" s="9" t="str">
        <f t="shared" si="74"/>
        <v/>
      </c>
      <c r="O81" s="9" t="str">
        <f t="shared" si="74"/>
        <v/>
      </c>
      <c r="P81" s="9" t="str">
        <f t="shared" si="74"/>
        <v/>
      </c>
      <c r="Q81" s="9" t="str">
        <f t="shared" si="74"/>
        <v/>
      </c>
      <c r="R81" s="9" t="str">
        <f t="shared" si="74"/>
        <v/>
      </c>
      <c r="S81" s="9" t="str">
        <f t="shared" si="74"/>
        <v/>
      </c>
      <c r="T81" s="9" t="str">
        <f t="shared" si="74"/>
        <v/>
      </c>
      <c r="U81" s="11" t="str">
        <f t="shared" si="74"/>
        <v/>
      </c>
    </row>
    <row r="82">
      <c r="A82" s="47"/>
      <c r="B82" s="47"/>
      <c r="C82" s="42">
        <f t="shared" si="4"/>
        <v>0</v>
      </c>
      <c r="D82" s="9" t="str">
        <f t="shared" ref="D82:I82" si="75">if($C41&gt;$C$45,D41,"")</f>
        <v/>
      </c>
      <c r="E82" s="114" t="str">
        <f t="shared" si="75"/>
        <v/>
      </c>
      <c r="F82" s="115" t="str">
        <f t="shared" si="75"/>
        <v/>
      </c>
      <c r="G82" s="115" t="str">
        <f t="shared" si="75"/>
        <v/>
      </c>
      <c r="H82" s="115" t="str">
        <f t="shared" si="75"/>
        <v/>
      </c>
      <c r="I82" s="115" t="str">
        <f t="shared" si="75"/>
        <v/>
      </c>
      <c r="J82" s="9"/>
      <c r="K82" s="114" t="str">
        <f t="shared" si="13"/>
        <v/>
      </c>
      <c r="L82" s="170" t="b">
        <v>0</v>
      </c>
      <c r="M82" s="9" t="str">
        <f t="shared" ref="M82:U82" si="76">if($L82=TRUE,C82,"")</f>
        <v/>
      </c>
      <c r="N82" s="9" t="str">
        <f t="shared" si="76"/>
        <v/>
      </c>
      <c r="O82" s="9" t="str">
        <f t="shared" si="76"/>
        <v/>
      </c>
      <c r="P82" s="9" t="str">
        <f t="shared" si="76"/>
        <v/>
      </c>
      <c r="Q82" s="9" t="str">
        <f t="shared" si="76"/>
        <v/>
      </c>
      <c r="R82" s="9" t="str">
        <f t="shared" si="76"/>
        <v/>
      </c>
      <c r="S82" s="9" t="str">
        <f t="shared" si="76"/>
        <v/>
      </c>
      <c r="T82" s="9" t="str">
        <f t="shared" si="76"/>
        <v/>
      </c>
      <c r="U82" s="11" t="str">
        <f t="shared" si="76"/>
        <v/>
      </c>
    </row>
    <row r="83">
      <c r="A83" s="50"/>
      <c r="B83" s="50"/>
      <c r="C83" s="42">
        <f t="shared" si="4"/>
        <v>3</v>
      </c>
      <c r="D83" s="9" t="str">
        <f t="shared" ref="D83:I83" si="77">if($C42&gt;$C$45,D42,"")</f>
        <v>4.NF.C.7</v>
      </c>
      <c r="E83" s="114" t="str">
        <f t="shared" si="77"/>
        <v>Compare two decimals to hundredths by reasoning about their size. Recognize that comparisons are valid only when the two decimals refer to the same whole. Record the results of comparisons with the symbols &gt;, =, or &lt;, and justify the conclusions, e.g., by using a visual model.</v>
      </c>
      <c r="F83" s="115" t="b">
        <f t="shared" si="77"/>
        <v>1</v>
      </c>
      <c r="G83" s="115" t="b">
        <f t="shared" si="77"/>
        <v>1</v>
      </c>
      <c r="H83" s="115" t="b">
        <f t="shared" si="77"/>
        <v>0</v>
      </c>
      <c r="I83" s="115" t="b">
        <f t="shared" si="77"/>
        <v>1</v>
      </c>
      <c r="J83" s="9"/>
      <c r="K83" s="114" t="str">
        <f t="shared" si="13"/>
        <v/>
      </c>
      <c r="L83" s="167" t="b">
        <v>0</v>
      </c>
      <c r="M83" s="9" t="str">
        <f t="shared" ref="M83:U83" si="78">if($L83=TRUE,C83,"")</f>
        <v/>
      </c>
      <c r="N83" s="9" t="str">
        <f t="shared" si="78"/>
        <v/>
      </c>
      <c r="O83" s="9" t="str">
        <f t="shared" si="78"/>
        <v/>
      </c>
      <c r="P83" s="9" t="str">
        <f t="shared" si="78"/>
        <v/>
      </c>
      <c r="Q83" s="9" t="str">
        <f t="shared" si="78"/>
        <v/>
      </c>
      <c r="R83" s="9" t="str">
        <f t="shared" si="78"/>
        <v/>
      </c>
      <c r="S83" s="9" t="str">
        <f t="shared" si="78"/>
        <v/>
      </c>
      <c r="T83" s="9" t="str">
        <f t="shared" si="78"/>
        <v/>
      </c>
      <c r="U83" s="11" t="str">
        <f t="shared" si="78"/>
        <v/>
      </c>
    </row>
  </sheetData>
  <mergeCells count="36">
    <mergeCell ref="A2:B2"/>
    <mergeCell ref="C2:K2"/>
    <mergeCell ref="A3:K3"/>
    <mergeCell ref="A4:B4"/>
    <mergeCell ref="A5:A11"/>
    <mergeCell ref="B5:B8"/>
    <mergeCell ref="A12:A16"/>
    <mergeCell ref="B24:B28"/>
    <mergeCell ref="B29:B30"/>
    <mergeCell ref="B31:B39"/>
    <mergeCell ref="B40:B42"/>
    <mergeCell ref="F44:G44"/>
    <mergeCell ref="B9:B11"/>
    <mergeCell ref="B12:B14"/>
    <mergeCell ref="A17:A19"/>
    <mergeCell ref="B17:B19"/>
    <mergeCell ref="A20:A28"/>
    <mergeCell ref="B20:B22"/>
    <mergeCell ref="A29:A42"/>
    <mergeCell ref="A44:B44"/>
    <mergeCell ref="A45:B45"/>
    <mergeCell ref="A46:B46"/>
    <mergeCell ref="A47:A52"/>
    <mergeCell ref="B47:B49"/>
    <mergeCell ref="B50:B52"/>
    <mergeCell ref="B53:B55"/>
    <mergeCell ref="B70:B71"/>
    <mergeCell ref="B72:B80"/>
    <mergeCell ref="A53:A57"/>
    <mergeCell ref="A58:A60"/>
    <mergeCell ref="B58:B60"/>
    <mergeCell ref="A61:A69"/>
    <mergeCell ref="B61:B63"/>
    <mergeCell ref="B65:B69"/>
    <mergeCell ref="A70:A83"/>
    <mergeCell ref="B81:B83"/>
  </mergeCells>
  <conditionalFormatting sqref="D44">
    <cfRule type="expression" dxfId="0" priority="1">
      <formula>D44&lt;=K44</formula>
    </cfRule>
  </conditionalFormatting>
  <conditionalFormatting sqref="D44">
    <cfRule type="expression" dxfId="1" priority="2">
      <formula>D44&gt;K44</formula>
    </cfRule>
  </conditionalFormatting>
  <conditionalFormatting sqref="L47">
    <cfRule type="expression" dxfId="7" priority="3">
      <formula>not</formula>
    </cfRule>
  </conditionalFormatting>
  <conditionalFormatting sqref="F47:I83">
    <cfRule type="cellIs" dxfId="8" priority="4" operator="equal">
      <formula>"TRUE"</formula>
    </cfRule>
  </conditionalFormatting>
  <conditionalFormatting sqref="F47:I83">
    <cfRule type="cellIs" dxfId="9" priority="5" operator="equal">
      <formula>"FALSE"</formula>
    </cfRule>
  </conditionalFormatting>
  <conditionalFormatting sqref="C5:C42 C47:C83">
    <cfRule type="cellIs" dxfId="2" priority="6" operator="equal">
      <formula>0</formula>
    </cfRule>
  </conditionalFormatting>
  <conditionalFormatting sqref="C5:C42 C47:C83">
    <cfRule type="cellIs" dxfId="3" priority="7" operator="equal">
      <formula>1</formula>
    </cfRule>
  </conditionalFormatting>
  <conditionalFormatting sqref="C5:C42 C47:C83">
    <cfRule type="cellIs" dxfId="4" priority="8" operator="equal">
      <formula>2</formula>
    </cfRule>
  </conditionalFormatting>
  <conditionalFormatting sqref="C5:C42 C47:C83">
    <cfRule type="cellIs" dxfId="5" priority="9" operator="equal">
      <formula>3</formula>
    </cfRule>
  </conditionalFormatting>
  <conditionalFormatting sqref="C5:C42 C47:C83">
    <cfRule type="cellIs" dxfId="6" priority="10" operator="equal">
      <formula>4</formula>
    </cfRule>
  </conditionalFormatting>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E7CC3"/>
    <outlinePr summaryBelow="0" summaryRight="0"/>
  </sheetPr>
  <sheetViews>
    <sheetView workbookViewId="0">
      <pane ySplit="4.0" topLeftCell="A5" activePane="bottomLeft" state="frozen"/>
      <selection activeCell="B6" sqref="B6" pane="bottomLeft"/>
    </sheetView>
  </sheetViews>
  <sheetFormatPr customHeight="1" defaultColWidth="14.43" defaultRowHeight="15.75" outlineLevelCol="1" outlineLevelRow="1"/>
  <cols>
    <col customWidth="1" min="1" max="1" width="5.14"/>
    <col customWidth="1" min="2" max="2" width="15.86"/>
    <col customWidth="1" min="3" max="3" width="5.14"/>
    <col customWidth="1" min="4" max="4" width="10.86"/>
    <col customWidth="1" min="5" max="5" width="57.29"/>
    <col customWidth="1" min="6" max="9" width="3.0"/>
    <col customWidth="1" min="10" max="10" width="0.86"/>
    <col customWidth="1" min="11" max="11" width="43.0"/>
    <col collapsed="1" customWidth="1" min="12" max="12" width="8.86"/>
    <col hidden="1" min="13" max="21" width="14.43" outlineLevel="1"/>
  </cols>
  <sheetData>
    <row r="1" ht="4.5" customHeight="1" collapsed="1">
      <c r="A1" s="3"/>
      <c r="B1" s="7"/>
      <c r="C1" s="7"/>
      <c r="D1" s="7"/>
      <c r="E1" s="126"/>
      <c r="F1" s="7"/>
      <c r="G1" s="7"/>
      <c r="H1" s="7"/>
      <c r="I1" s="7"/>
      <c r="J1" s="7"/>
      <c r="K1" s="128"/>
      <c r="L1" s="9"/>
      <c r="M1" s="9"/>
      <c r="N1" s="9"/>
      <c r="O1" s="9"/>
      <c r="P1" s="9"/>
      <c r="Q1" s="9"/>
      <c r="R1" s="9"/>
      <c r="S1" s="9"/>
      <c r="T1" s="9"/>
      <c r="U1" s="9"/>
    </row>
    <row r="2" hidden="1" outlineLevel="1">
      <c r="A2" s="12" t="s">
        <v>4</v>
      </c>
      <c r="B2" s="13"/>
      <c r="C2" s="24" t="s">
        <v>5</v>
      </c>
      <c r="D2" s="13"/>
      <c r="E2" s="13"/>
      <c r="F2" s="13"/>
      <c r="G2" s="13"/>
      <c r="H2" s="13"/>
      <c r="I2" s="13"/>
      <c r="J2" s="13"/>
      <c r="K2" s="13"/>
      <c r="L2" s="9"/>
      <c r="M2" s="9"/>
      <c r="N2" s="9"/>
      <c r="O2" s="9"/>
      <c r="P2" s="9"/>
      <c r="Q2" s="9"/>
      <c r="R2" s="9"/>
      <c r="S2" s="9"/>
      <c r="T2" s="9"/>
      <c r="U2" s="9"/>
    </row>
    <row r="3">
      <c r="A3" s="124" t="s">
        <v>273</v>
      </c>
      <c r="B3" s="13"/>
      <c r="C3" s="13"/>
      <c r="D3" s="13"/>
      <c r="E3" s="13"/>
      <c r="F3" s="13"/>
      <c r="G3" s="13"/>
      <c r="H3" s="13"/>
      <c r="I3" s="13"/>
      <c r="J3" s="13"/>
      <c r="K3" s="16"/>
      <c r="L3" s="133"/>
      <c r="M3" s="133"/>
      <c r="N3" s="133"/>
      <c r="O3" s="133"/>
      <c r="P3" s="133"/>
      <c r="Q3" s="133"/>
      <c r="R3" s="133"/>
      <c r="S3" s="133"/>
      <c r="T3" s="133"/>
      <c r="U3" s="133"/>
    </row>
    <row r="4" outlineLevel="1">
      <c r="A4" s="127" t="s">
        <v>7</v>
      </c>
      <c r="B4" s="16"/>
      <c r="C4" s="129" t="s">
        <v>8</v>
      </c>
      <c r="D4" s="129" t="s">
        <v>9</v>
      </c>
      <c r="E4" s="31" t="s">
        <v>10</v>
      </c>
      <c r="F4" s="130" t="s">
        <v>12</v>
      </c>
      <c r="G4" s="130" t="s">
        <v>13</v>
      </c>
      <c r="H4" s="132" t="str">
        <f>HYPERLINK("https://www.gctsd.k12.ar.us/images/testing/aspire_summative_assessment_overview.pdf","A")</f>
        <v>A</v>
      </c>
      <c r="I4" s="130" t="s">
        <v>17</v>
      </c>
      <c r="J4" s="130"/>
      <c r="K4" s="130" t="s">
        <v>18</v>
      </c>
      <c r="L4" s="133"/>
      <c r="M4" s="133"/>
      <c r="N4" s="133"/>
      <c r="O4" s="133"/>
      <c r="P4" s="133"/>
      <c r="Q4" s="133"/>
      <c r="R4" s="133"/>
      <c r="S4" s="133"/>
      <c r="T4" s="133"/>
      <c r="U4" s="133"/>
    </row>
    <row r="5" outlineLevel="1">
      <c r="A5" s="79" t="s">
        <v>19</v>
      </c>
      <c r="B5" s="123" t="s">
        <v>283</v>
      </c>
      <c r="C5" s="42">
        <f t="shared" ref="C5:C43" si="1">countif(F5:I5,TRUE)</f>
        <v>3</v>
      </c>
      <c r="D5" s="133" t="s">
        <v>285</v>
      </c>
      <c r="E5" s="43" t="s">
        <v>286</v>
      </c>
      <c r="F5" s="142" t="b">
        <v>1</v>
      </c>
      <c r="G5" s="142" t="b">
        <v>1</v>
      </c>
      <c r="H5" s="142" t="b">
        <v>1</v>
      </c>
      <c r="I5" s="142" t="b">
        <v>0</v>
      </c>
      <c r="J5" s="144"/>
      <c r="K5" s="145" t="s">
        <v>292</v>
      </c>
      <c r="L5" s="133"/>
      <c r="M5" s="133"/>
      <c r="N5" s="133"/>
      <c r="O5" s="133"/>
      <c r="P5" s="133"/>
      <c r="Q5" s="133"/>
      <c r="R5" s="133"/>
      <c r="S5" s="133"/>
      <c r="T5" s="133"/>
      <c r="U5" s="133"/>
    </row>
    <row r="6" outlineLevel="1">
      <c r="A6" s="47"/>
      <c r="B6" s="47"/>
      <c r="C6" s="42">
        <f t="shared" si="1"/>
        <v>4</v>
      </c>
      <c r="D6" s="133" t="s">
        <v>297</v>
      </c>
      <c r="E6" s="43" t="s">
        <v>298</v>
      </c>
      <c r="F6" s="142" t="b">
        <v>1</v>
      </c>
      <c r="G6" s="142" t="b">
        <v>1</v>
      </c>
      <c r="H6" s="142" t="b">
        <v>1</v>
      </c>
      <c r="I6" s="142" t="b">
        <v>1</v>
      </c>
      <c r="J6" s="144"/>
      <c r="K6" s="145" t="s">
        <v>292</v>
      </c>
      <c r="L6" s="133"/>
      <c r="M6" s="133"/>
      <c r="N6" s="133"/>
      <c r="O6" s="133"/>
      <c r="P6" s="133"/>
      <c r="Q6" s="133"/>
      <c r="R6" s="133"/>
      <c r="S6" s="133"/>
      <c r="T6" s="133"/>
      <c r="U6" s="133"/>
    </row>
    <row r="7" outlineLevel="1">
      <c r="A7" s="47"/>
      <c r="B7" s="47"/>
      <c r="C7" s="42">
        <f t="shared" si="1"/>
        <v>3</v>
      </c>
      <c r="D7" s="133" t="s">
        <v>303</v>
      </c>
      <c r="E7" s="43" t="s">
        <v>304</v>
      </c>
      <c r="F7" s="142" t="b">
        <v>1</v>
      </c>
      <c r="G7" s="142" t="b">
        <v>1</v>
      </c>
      <c r="H7" s="142" t="b">
        <v>1</v>
      </c>
      <c r="I7" s="149" t="b">
        <v>0</v>
      </c>
      <c r="J7" s="144"/>
      <c r="K7" s="145" t="s">
        <v>292</v>
      </c>
      <c r="L7" s="133"/>
      <c r="M7" s="133"/>
      <c r="N7" s="133"/>
      <c r="O7" s="133"/>
      <c r="P7" s="133"/>
      <c r="Q7" s="133"/>
      <c r="R7" s="133"/>
      <c r="S7" s="133"/>
      <c r="T7" s="133"/>
      <c r="U7" s="133"/>
    </row>
    <row r="8" outlineLevel="1">
      <c r="A8" s="47"/>
      <c r="B8" s="47"/>
      <c r="C8" s="42">
        <f t="shared" si="1"/>
        <v>1</v>
      </c>
      <c r="D8" s="133" t="s">
        <v>308</v>
      </c>
      <c r="E8" s="43" t="s">
        <v>309</v>
      </c>
      <c r="F8" s="142" t="b">
        <v>0</v>
      </c>
      <c r="G8" s="149" t="b">
        <v>0</v>
      </c>
      <c r="H8" s="142" t="b">
        <v>1</v>
      </c>
      <c r="I8" s="149" t="b">
        <v>0</v>
      </c>
      <c r="J8" s="144"/>
      <c r="K8" s="145" t="s">
        <v>311</v>
      </c>
      <c r="L8" s="133"/>
      <c r="M8" s="133"/>
      <c r="N8" s="133"/>
      <c r="O8" s="133"/>
      <c r="P8" s="133"/>
      <c r="Q8" s="133"/>
      <c r="R8" s="133"/>
      <c r="S8" s="133"/>
      <c r="T8" s="133"/>
      <c r="U8" s="133"/>
    </row>
    <row r="9" outlineLevel="1">
      <c r="A9" s="47"/>
      <c r="B9" s="47"/>
      <c r="C9" s="42">
        <f t="shared" si="1"/>
        <v>2</v>
      </c>
      <c r="D9" s="133" t="s">
        <v>314</v>
      </c>
      <c r="E9" s="43" t="s">
        <v>315</v>
      </c>
      <c r="F9" s="142" t="b">
        <v>1</v>
      </c>
      <c r="G9" s="142" t="b">
        <v>0</v>
      </c>
      <c r="H9" s="142" t="b">
        <v>1</v>
      </c>
      <c r="I9" s="149" t="b">
        <v>0</v>
      </c>
      <c r="J9" s="144"/>
      <c r="K9" s="145" t="s">
        <v>318</v>
      </c>
      <c r="L9" s="133"/>
      <c r="M9" s="133"/>
      <c r="N9" s="133"/>
      <c r="O9" s="133"/>
      <c r="P9" s="133"/>
      <c r="Q9" s="133"/>
      <c r="R9" s="133"/>
      <c r="S9" s="133"/>
      <c r="T9" s="133"/>
      <c r="U9" s="133"/>
    </row>
    <row r="10" outlineLevel="1">
      <c r="A10" s="47"/>
      <c r="B10" s="50"/>
      <c r="C10" s="35">
        <f t="shared" si="1"/>
        <v>3</v>
      </c>
      <c r="D10" s="148" t="s">
        <v>321</v>
      </c>
      <c r="E10" s="37" t="s">
        <v>322</v>
      </c>
      <c r="F10" s="153" t="b">
        <v>0</v>
      </c>
      <c r="G10" s="153" t="b">
        <v>1</v>
      </c>
      <c r="H10" s="153" t="b">
        <v>1</v>
      </c>
      <c r="I10" s="153" t="b">
        <v>1</v>
      </c>
      <c r="J10" s="154"/>
      <c r="K10" s="155" t="s">
        <v>328</v>
      </c>
      <c r="L10" s="133"/>
      <c r="M10" s="133"/>
      <c r="N10" s="133"/>
      <c r="O10" s="133"/>
      <c r="P10" s="133"/>
      <c r="Q10" s="133"/>
      <c r="R10" s="133"/>
      <c r="S10" s="133"/>
      <c r="T10" s="133"/>
      <c r="U10" s="133"/>
    </row>
    <row r="11" outlineLevel="1">
      <c r="A11" s="47"/>
      <c r="B11" s="41" t="s">
        <v>329</v>
      </c>
      <c r="C11" s="42">
        <f t="shared" si="1"/>
        <v>4</v>
      </c>
      <c r="D11" s="133" t="s">
        <v>331</v>
      </c>
      <c r="E11" s="43" t="s">
        <v>332</v>
      </c>
      <c r="F11" s="142" t="b">
        <v>1</v>
      </c>
      <c r="G11" s="142" t="b">
        <v>1</v>
      </c>
      <c r="H11" s="142" t="b">
        <v>1</v>
      </c>
      <c r="I11" s="142" t="b">
        <v>1</v>
      </c>
      <c r="J11" s="144"/>
      <c r="K11" s="145" t="s">
        <v>336</v>
      </c>
      <c r="L11" s="133"/>
      <c r="M11" s="133"/>
      <c r="N11" s="133"/>
      <c r="O11" s="133"/>
      <c r="P11" s="133"/>
      <c r="Q11" s="133"/>
      <c r="R11" s="133"/>
      <c r="S11" s="133"/>
      <c r="T11" s="133"/>
      <c r="U11" s="133"/>
    </row>
    <row r="12" outlineLevel="1">
      <c r="A12" s="47"/>
      <c r="B12" s="47"/>
      <c r="C12" s="42">
        <f t="shared" si="1"/>
        <v>4</v>
      </c>
      <c r="D12" s="133" t="s">
        <v>339</v>
      </c>
      <c r="E12" s="43" t="s">
        <v>340</v>
      </c>
      <c r="F12" s="142" t="b">
        <v>1</v>
      </c>
      <c r="G12" s="142" t="b">
        <v>1</v>
      </c>
      <c r="H12" s="142" t="b">
        <v>1</v>
      </c>
      <c r="I12" s="142" t="b">
        <v>1</v>
      </c>
      <c r="J12" s="144"/>
      <c r="K12" s="145" t="s">
        <v>342</v>
      </c>
      <c r="L12" s="133"/>
      <c r="M12" s="133"/>
      <c r="N12" s="133"/>
      <c r="O12" s="133"/>
      <c r="P12" s="133"/>
      <c r="Q12" s="133"/>
      <c r="R12" s="133"/>
      <c r="S12" s="133"/>
      <c r="T12" s="133"/>
      <c r="U12" s="133"/>
    </row>
    <row r="13" outlineLevel="1">
      <c r="A13" s="50"/>
      <c r="B13" s="50"/>
      <c r="C13" s="35">
        <f t="shared" si="1"/>
        <v>4</v>
      </c>
      <c r="D13" s="148" t="s">
        <v>351</v>
      </c>
      <c r="E13" s="37" t="s">
        <v>352</v>
      </c>
      <c r="F13" s="153" t="b">
        <v>1</v>
      </c>
      <c r="G13" s="153" t="b">
        <v>1</v>
      </c>
      <c r="H13" s="153" t="b">
        <v>1</v>
      </c>
      <c r="I13" s="153" t="b">
        <v>1</v>
      </c>
      <c r="J13" s="154"/>
      <c r="K13" s="145" t="s">
        <v>354</v>
      </c>
      <c r="L13" s="133"/>
      <c r="M13" s="133"/>
      <c r="N13" s="133"/>
      <c r="O13" s="133"/>
      <c r="P13" s="133"/>
      <c r="Q13" s="133"/>
      <c r="R13" s="133"/>
      <c r="S13" s="133"/>
      <c r="T13" s="133"/>
      <c r="U13" s="133"/>
    </row>
    <row r="14" outlineLevel="1">
      <c r="A14" s="66" t="s">
        <v>47</v>
      </c>
      <c r="B14" s="157" t="s">
        <v>357</v>
      </c>
      <c r="C14" s="42">
        <f t="shared" si="1"/>
        <v>3</v>
      </c>
      <c r="D14" s="133" t="s">
        <v>359</v>
      </c>
      <c r="E14" s="43" t="s">
        <v>361</v>
      </c>
      <c r="F14" s="142" t="b">
        <v>1</v>
      </c>
      <c r="G14" s="142" t="b">
        <v>1</v>
      </c>
      <c r="H14" s="142" t="b">
        <v>1</v>
      </c>
      <c r="I14" s="149" t="b">
        <v>0</v>
      </c>
      <c r="J14" s="144"/>
      <c r="K14" s="145" t="s">
        <v>362</v>
      </c>
      <c r="L14" s="133"/>
      <c r="M14" s="133"/>
      <c r="N14" s="133"/>
      <c r="O14" s="133"/>
      <c r="P14" s="133"/>
      <c r="Q14" s="133"/>
      <c r="R14" s="133"/>
      <c r="S14" s="133"/>
      <c r="T14" s="133"/>
      <c r="U14" s="133"/>
    </row>
    <row r="15" outlineLevel="1">
      <c r="A15" s="47"/>
      <c r="B15" s="50"/>
      <c r="C15" s="35">
        <f t="shared" si="1"/>
        <v>3</v>
      </c>
      <c r="D15" s="148" t="s">
        <v>367</v>
      </c>
      <c r="E15" s="37" t="s">
        <v>368</v>
      </c>
      <c r="F15" s="153" t="b">
        <v>1</v>
      </c>
      <c r="G15" s="153" t="b">
        <v>1</v>
      </c>
      <c r="H15" s="153" t="b">
        <v>1</v>
      </c>
      <c r="I15" s="158" t="b">
        <v>0</v>
      </c>
      <c r="J15" s="154"/>
      <c r="K15" s="145" t="s">
        <v>370</v>
      </c>
      <c r="L15" s="133"/>
      <c r="M15" s="133"/>
      <c r="N15" s="133"/>
      <c r="O15" s="133"/>
      <c r="P15" s="133"/>
      <c r="Q15" s="133"/>
      <c r="R15" s="133"/>
      <c r="S15" s="133"/>
      <c r="T15" s="133"/>
      <c r="U15" s="133"/>
    </row>
    <row r="16" outlineLevel="1">
      <c r="A16" s="50"/>
      <c r="B16" s="98" t="s">
        <v>371</v>
      </c>
      <c r="C16" s="35">
        <f t="shared" si="1"/>
        <v>3</v>
      </c>
      <c r="D16" s="148" t="s">
        <v>372</v>
      </c>
      <c r="E16" s="37" t="s">
        <v>373</v>
      </c>
      <c r="F16" s="153" t="b">
        <v>1</v>
      </c>
      <c r="G16" s="153" t="b">
        <v>0</v>
      </c>
      <c r="H16" s="153" t="b">
        <v>1</v>
      </c>
      <c r="I16" s="153" t="b">
        <v>1</v>
      </c>
      <c r="J16" s="154"/>
      <c r="K16" s="145" t="s">
        <v>375</v>
      </c>
      <c r="L16" s="133"/>
      <c r="M16" s="133"/>
      <c r="N16" s="133"/>
      <c r="O16" s="133"/>
      <c r="P16" s="133"/>
      <c r="Q16" s="133"/>
      <c r="R16" s="133"/>
      <c r="S16" s="133"/>
      <c r="T16" s="133"/>
      <c r="U16" s="133"/>
    </row>
    <row r="17" outlineLevel="1">
      <c r="A17" s="85" t="s">
        <v>90</v>
      </c>
      <c r="B17" s="84" t="s">
        <v>379</v>
      </c>
      <c r="C17" s="42">
        <f t="shared" si="1"/>
        <v>3</v>
      </c>
      <c r="D17" s="133" t="s">
        <v>383</v>
      </c>
      <c r="E17" s="43" t="s">
        <v>384</v>
      </c>
      <c r="F17" s="142" t="b">
        <v>1</v>
      </c>
      <c r="G17" s="142" t="b">
        <v>0</v>
      </c>
      <c r="H17" s="142" t="b">
        <v>1</v>
      </c>
      <c r="I17" s="142" t="b">
        <v>1</v>
      </c>
      <c r="J17" s="144"/>
      <c r="K17" s="145" t="s">
        <v>386</v>
      </c>
      <c r="L17" s="133"/>
      <c r="M17" s="133"/>
      <c r="N17" s="133"/>
      <c r="O17" s="133"/>
      <c r="P17" s="133"/>
      <c r="Q17" s="133"/>
      <c r="R17" s="133"/>
      <c r="S17" s="133"/>
      <c r="T17" s="133"/>
      <c r="U17" s="133"/>
    </row>
    <row r="18" outlineLevel="1">
      <c r="A18" s="47"/>
      <c r="B18" s="50"/>
      <c r="C18" s="35">
        <f t="shared" si="1"/>
        <v>3</v>
      </c>
      <c r="D18" s="148" t="s">
        <v>390</v>
      </c>
      <c r="E18" s="37" t="s">
        <v>391</v>
      </c>
      <c r="F18" s="153" t="b">
        <v>1</v>
      </c>
      <c r="G18" s="153" t="b">
        <v>0</v>
      </c>
      <c r="H18" s="153" t="b">
        <v>1</v>
      </c>
      <c r="I18" s="153" t="b">
        <v>1</v>
      </c>
      <c r="J18" s="154"/>
      <c r="K18" s="155" t="s">
        <v>386</v>
      </c>
      <c r="L18" s="133"/>
      <c r="M18" s="133"/>
      <c r="N18" s="133"/>
      <c r="O18" s="133"/>
      <c r="P18" s="133"/>
      <c r="Q18" s="133"/>
      <c r="R18" s="133"/>
      <c r="S18" s="133"/>
      <c r="T18" s="133"/>
      <c r="U18" s="133"/>
    </row>
    <row r="19" outlineLevel="1">
      <c r="A19" s="47"/>
      <c r="B19" s="84" t="s">
        <v>396</v>
      </c>
      <c r="C19" s="42">
        <f t="shared" si="1"/>
        <v>2</v>
      </c>
      <c r="D19" s="133" t="s">
        <v>400</v>
      </c>
      <c r="E19" s="43" t="s">
        <v>401</v>
      </c>
      <c r="F19" s="142" t="b">
        <v>1</v>
      </c>
      <c r="G19" s="149" t="b">
        <v>0</v>
      </c>
      <c r="H19" s="142" t="b">
        <v>1</v>
      </c>
      <c r="I19" s="149" t="b">
        <v>0</v>
      </c>
      <c r="J19" s="144"/>
      <c r="K19" s="145" t="s">
        <v>404</v>
      </c>
      <c r="L19" s="133"/>
      <c r="M19" s="133"/>
      <c r="N19" s="133"/>
      <c r="O19" s="133"/>
      <c r="P19" s="133"/>
      <c r="Q19" s="133"/>
      <c r="R19" s="133"/>
      <c r="S19" s="133"/>
      <c r="T19" s="133"/>
      <c r="U19" s="133"/>
    </row>
    <row r="20" ht="28.5" customHeight="1" outlineLevel="1">
      <c r="A20" s="50"/>
      <c r="B20" s="50"/>
      <c r="C20" s="35">
        <f t="shared" si="1"/>
        <v>2</v>
      </c>
      <c r="D20" s="148" t="s">
        <v>406</v>
      </c>
      <c r="E20" s="37" t="s">
        <v>407</v>
      </c>
      <c r="F20" s="153" t="b">
        <v>1</v>
      </c>
      <c r="G20" s="158" t="b">
        <v>0</v>
      </c>
      <c r="H20" s="153" t="b">
        <v>1</v>
      </c>
      <c r="I20" s="158" t="b">
        <v>0</v>
      </c>
      <c r="J20" s="154"/>
      <c r="K20" s="145" t="s">
        <v>404</v>
      </c>
      <c r="L20" s="133"/>
      <c r="M20" s="133"/>
      <c r="N20" s="133"/>
      <c r="O20" s="133"/>
      <c r="P20" s="133"/>
      <c r="Q20" s="133"/>
      <c r="R20" s="133"/>
      <c r="S20" s="133"/>
      <c r="T20" s="133"/>
      <c r="U20" s="133"/>
    </row>
    <row r="21" outlineLevel="1">
      <c r="A21" s="94" t="s">
        <v>124</v>
      </c>
      <c r="B21" s="160" t="s">
        <v>415</v>
      </c>
      <c r="C21" s="35">
        <f t="shared" si="1"/>
        <v>3</v>
      </c>
      <c r="D21" s="148" t="s">
        <v>416</v>
      </c>
      <c r="E21" s="37" t="s">
        <v>418</v>
      </c>
      <c r="F21" s="153" t="b">
        <v>1</v>
      </c>
      <c r="G21" s="153" t="b">
        <v>1</v>
      </c>
      <c r="H21" s="153" t="b">
        <v>0</v>
      </c>
      <c r="I21" s="153" t="b">
        <v>1</v>
      </c>
      <c r="J21" s="154"/>
      <c r="K21" s="145" t="s">
        <v>420</v>
      </c>
      <c r="L21" s="133"/>
      <c r="M21" s="133"/>
      <c r="N21" s="133"/>
      <c r="O21" s="133"/>
      <c r="P21" s="133"/>
      <c r="Q21" s="133"/>
      <c r="R21" s="133"/>
      <c r="S21" s="133"/>
      <c r="T21" s="133"/>
      <c r="U21" s="133"/>
    </row>
    <row r="22" outlineLevel="1">
      <c r="A22" s="47"/>
      <c r="B22" s="93" t="s">
        <v>157</v>
      </c>
      <c r="C22" s="35">
        <f t="shared" si="1"/>
        <v>1</v>
      </c>
      <c r="D22" s="148" t="s">
        <v>425</v>
      </c>
      <c r="E22" s="37" t="s">
        <v>426</v>
      </c>
      <c r="F22" s="153" t="b">
        <v>0</v>
      </c>
      <c r="G22" s="153" t="b">
        <v>1</v>
      </c>
      <c r="H22" s="153" t="b">
        <v>0</v>
      </c>
      <c r="I22" s="153" t="b">
        <v>0</v>
      </c>
      <c r="J22" s="154"/>
      <c r="K22" s="155" t="s">
        <v>429</v>
      </c>
      <c r="L22" s="133"/>
      <c r="M22" s="133"/>
      <c r="N22" s="133"/>
      <c r="O22" s="133"/>
      <c r="P22" s="133"/>
      <c r="Q22" s="133"/>
      <c r="R22" s="133"/>
      <c r="S22" s="133"/>
      <c r="T22" s="133"/>
      <c r="U22" s="133"/>
    </row>
    <row r="23" outlineLevel="1">
      <c r="A23" s="47"/>
      <c r="B23" s="119" t="s">
        <v>434</v>
      </c>
      <c r="C23" s="42">
        <f t="shared" si="1"/>
        <v>3</v>
      </c>
      <c r="D23" s="133" t="s">
        <v>439</v>
      </c>
      <c r="E23" s="43" t="s">
        <v>440</v>
      </c>
      <c r="F23" s="142" t="b">
        <v>1</v>
      </c>
      <c r="G23" s="142" t="b">
        <v>0</v>
      </c>
      <c r="H23" s="142" t="b">
        <v>1</v>
      </c>
      <c r="I23" s="142" t="b">
        <v>1</v>
      </c>
      <c r="J23" s="144"/>
      <c r="K23" s="145" t="s">
        <v>443</v>
      </c>
      <c r="L23" s="133"/>
      <c r="M23" s="133"/>
      <c r="N23" s="133"/>
      <c r="O23" s="133"/>
      <c r="P23" s="133"/>
      <c r="Q23" s="133"/>
      <c r="R23" s="133"/>
      <c r="S23" s="133"/>
      <c r="T23" s="133"/>
      <c r="U23" s="133"/>
    </row>
    <row r="24" outlineLevel="1">
      <c r="A24" s="47"/>
      <c r="B24" s="47"/>
      <c r="C24" s="42">
        <f t="shared" si="1"/>
        <v>3</v>
      </c>
      <c r="D24" s="133" t="s">
        <v>447</v>
      </c>
      <c r="E24" s="43" t="s">
        <v>449</v>
      </c>
      <c r="F24" s="142" t="b">
        <v>1</v>
      </c>
      <c r="G24" s="142" t="b">
        <v>0</v>
      </c>
      <c r="H24" s="142" t="b">
        <v>1</v>
      </c>
      <c r="I24" s="142" t="b">
        <v>1</v>
      </c>
      <c r="J24" s="144"/>
      <c r="K24" s="145" t="s">
        <v>451</v>
      </c>
      <c r="L24" s="133"/>
      <c r="M24" s="133"/>
      <c r="N24" s="133"/>
      <c r="O24" s="133"/>
      <c r="P24" s="133"/>
      <c r="Q24" s="133"/>
      <c r="R24" s="133"/>
      <c r="S24" s="133"/>
      <c r="T24" s="133"/>
      <c r="U24" s="133"/>
    </row>
    <row r="25" outlineLevel="1">
      <c r="A25" s="47"/>
      <c r="B25" s="47"/>
      <c r="C25" s="42">
        <f t="shared" si="1"/>
        <v>3</v>
      </c>
      <c r="D25" s="133" t="s">
        <v>456</v>
      </c>
      <c r="E25" s="43" t="s">
        <v>457</v>
      </c>
      <c r="F25" s="142" t="b">
        <v>1</v>
      </c>
      <c r="G25" s="142" t="b">
        <v>0</v>
      </c>
      <c r="H25" s="142" t="b">
        <v>1</v>
      </c>
      <c r="I25" s="142" t="b">
        <v>1</v>
      </c>
      <c r="J25" s="144"/>
      <c r="K25" s="145" t="s">
        <v>451</v>
      </c>
      <c r="L25" s="133"/>
      <c r="M25" s="133"/>
      <c r="N25" s="133"/>
      <c r="O25" s="133"/>
      <c r="P25" s="133"/>
      <c r="Q25" s="133"/>
      <c r="R25" s="133"/>
      <c r="S25" s="133"/>
      <c r="T25" s="133"/>
      <c r="U25" s="133"/>
    </row>
    <row r="26" outlineLevel="1">
      <c r="A26" s="47"/>
      <c r="B26" s="47"/>
      <c r="C26" s="42">
        <f t="shared" si="1"/>
        <v>3</v>
      </c>
      <c r="D26" s="133" t="s">
        <v>461</v>
      </c>
      <c r="E26" s="43" t="s">
        <v>462</v>
      </c>
      <c r="F26" s="142" t="b">
        <v>1</v>
      </c>
      <c r="G26" s="142" t="b">
        <v>0</v>
      </c>
      <c r="H26" s="142" t="b">
        <v>1</v>
      </c>
      <c r="I26" s="142" t="b">
        <v>1</v>
      </c>
      <c r="J26" s="144"/>
      <c r="K26" s="145" t="s">
        <v>451</v>
      </c>
      <c r="L26" s="133"/>
      <c r="M26" s="133"/>
      <c r="N26" s="133"/>
      <c r="O26" s="133"/>
      <c r="P26" s="133"/>
      <c r="Q26" s="133"/>
      <c r="R26" s="133"/>
      <c r="S26" s="133"/>
      <c r="T26" s="133"/>
      <c r="U26" s="133"/>
    </row>
    <row r="27" outlineLevel="1">
      <c r="A27" s="47"/>
      <c r="B27" s="47"/>
      <c r="C27" s="42">
        <f t="shared" si="1"/>
        <v>3</v>
      </c>
      <c r="D27" s="133" t="s">
        <v>466</v>
      </c>
      <c r="E27" s="163" t="s">
        <v>467</v>
      </c>
      <c r="F27" s="142" t="b">
        <v>1</v>
      </c>
      <c r="G27" s="142" t="b">
        <v>0</v>
      </c>
      <c r="H27" s="142" t="b">
        <v>1</v>
      </c>
      <c r="I27" s="142" t="b">
        <v>1</v>
      </c>
      <c r="J27" s="144"/>
      <c r="K27" s="145" t="s">
        <v>451</v>
      </c>
      <c r="L27" s="133"/>
      <c r="M27" s="133"/>
      <c r="N27" s="133"/>
      <c r="O27" s="133"/>
      <c r="P27" s="133"/>
      <c r="Q27" s="133"/>
      <c r="R27" s="133"/>
      <c r="S27" s="133"/>
      <c r="T27" s="133"/>
      <c r="U27" s="133"/>
    </row>
    <row r="28" outlineLevel="1">
      <c r="A28" s="47"/>
      <c r="B28" s="47"/>
      <c r="C28" s="42">
        <f t="shared" si="1"/>
        <v>3</v>
      </c>
      <c r="D28" s="133" t="s">
        <v>474</v>
      </c>
      <c r="E28" s="43" t="s">
        <v>475</v>
      </c>
      <c r="F28" s="142" t="b">
        <v>1</v>
      </c>
      <c r="G28" s="142" t="b">
        <v>0</v>
      </c>
      <c r="H28" s="142" t="b">
        <v>1</v>
      </c>
      <c r="I28" s="142" t="b">
        <v>1</v>
      </c>
      <c r="J28" s="144"/>
      <c r="K28" s="145" t="s">
        <v>451</v>
      </c>
      <c r="L28" s="133"/>
      <c r="M28" s="133"/>
      <c r="N28" s="133"/>
      <c r="O28" s="133"/>
      <c r="P28" s="133"/>
      <c r="Q28" s="133"/>
      <c r="R28" s="133"/>
      <c r="S28" s="133"/>
      <c r="T28" s="133"/>
      <c r="U28" s="133"/>
    </row>
    <row r="29" outlineLevel="1">
      <c r="A29" s="47"/>
      <c r="B29" s="47"/>
      <c r="C29" s="42">
        <f t="shared" si="1"/>
        <v>3</v>
      </c>
      <c r="D29" s="133" t="s">
        <v>481</v>
      </c>
      <c r="E29" s="43" t="s">
        <v>482</v>
      </c>
      <c r="F29" s="142" t="b">
        <v>1</v>
      </c>
      <c r="G29" s="142" t="b">
        <v>0</v>
      </c>
      <c r="H29" s="142" t="b">
        <v>1</v>
      </c>
      <c r="I29" s="142" t="b">
        <v>1</v>
      </c>
      <c r="J29" s="144"/>
      <c r="K29" s="145" t="s">
        <v>451</v>
      </c>
      <c r="L29" s="133"/>
      <c r="M29" s="133"/>
      <c r="N29" s="133"/>
      <c r="O29" s="133"/>
      <c r="P29" s="133"/>
      <c r="Q29" s="133"/>
      <c r="R29" s="133"/>
      <c r="S29" s="133"/>
      <c r="T29" s="133"/>
      <c r="U29" s="133"/>
    </row>
    <row r="30" outlineLevel="1">
      <c r="A30" s="50"/>
      <c r="B30" s="50"/>
      <c r="C30" s="35">
        <f t="shared" si="1"/>
        <v>3</v>
      </c>
      <c r="D30" s="148" t="s">
        <v>489</v>
      </c>
      <c r="E30" s="37" t="s">
        <v>491</v>
      </c>
      <c r="F30" s="153" t="b">
        <v>1</v>
      </c>
      <c r="G30" s="153" t="b">
        <v>0</v>
      </c>
      <c r="H30" s="153" t="b">
        <v>1</v>
      </c>
      <c r="I30" s="153" t="b">
        <v>1</v>
      </c>
      <c r="J30" s="154"/>
      <c r="K30" s="145" t="s">
        <v>451</v>
      </c>
      <c r="L30" s="133"/>
      <c r="M30" s="133"/>
      <c r="N30" s="133"/>
      <c r="O30" s="133"/>
      <c r="P30" s="133"/>
      <c r="Q30" s="133"/>
      <c r="R30" s="133"/>
      <c r="S30" s="133"/>
      <c r="T30" s="133"/>
      <c r="U30" s="133"/>
    </row>
    <row r="31" outlineLevel="1">
      <c r="A31" s="161" t="s">
        <v>458</v>
      </c>
      <c r="B31" s="162" t="s">
        <v>496</v>
      </c>
      <c r="C31" s="42">
        <f t="shared" si="1"/>
        <v>3</v>
      </c>
      <c r="D31" s="133" t="s">
        <v>497</v>
      </c>
      <c r="E31" s="43" t="s">
        <v>500</v>
      </c>
      <c r="F31" s="142" t="b">
        <v>1</v>
      </c>
      <c r="G31" s="149" t="b">
        <v>0</v>
      </c>
      <c r="H31" s="142" t="b">
        <v>1</v>
      </c>
      <c r="I31" s="142" t="b">
        <v>1</v>
      </c>
      <c r="J31" s="144"/>
      <c r="K31" s="145" t="s">
        <v>504</v>
      </c>
      <c r="L31" s="133"/>
      <c r="M31" s="133"/>
      <c r="N31" s="133"/>
      <c r="O31" s="133"/>
      <c r="P31" s="133"/>
      <c r="Q31" s="133"/>
      <c r="R31" s="133"/>
      <c r="S31" s="133"/>
      <c r="T31" s="133"/>
      <c r="U31" s="133"/>
    </row>
    <row r="32" outlineLevel="1">
      <c r="A32" s="47"/>
      <c r="B32" s="50"/>
      <c r="C32" s="35">
        <f t="shared" si="1"/>
        <v>3</v>
      </c>
      <c r="D32" s="148" t="s">
        <v>507</v>
      </c>
      <c r="E32" s="37" t="s">
        <v>509</v>
      </c>
      <c r="F32" s="153" t="b">
        <v>1</v>
      </c>
      <c r="G32" s="158" t="b">
        <v>0</v>
      </c>
      <c r="H32" s="153" t="b">
        <v>1</v>
      </c>
      <c r="I32" s="153" t="b">
        <v>1</v>
      </c>
      <c r="J32" s="154"/>
      <c r="K32" s="155" t="s">
        <v>511</v>
      </c>
      <c r="L32" s="133"/>
      <c r="M32" s="133"/>
      <c r="N32" s="133"/>
      <c r="O32" s="133"/>
      <c r="P32" s="133"/>
      <c r="Q32" s="133"/>
      <c r="R32" s="133"/>
      <c r="S32" s="133"/>
      <c r="T32" s="133"/>
      <c r="U32" s="133"/>
    </row>
    <row r="33" outlineLevel="1">
      <c r="A33" s="47"/>
      <c r="B33" s="164" t="s">
        <v>512</v>
      </c>
      <c r="C33" s="42">
        <f t="shared" si="1"/>
        <v>4</v>
      </c>
      <c r="D33" s="133" t="s">
        <v>516</v>
      </c>
      <c r="E33" s="43" t="s">
        <v>517</v>
      </c>
      <c r="F33" s="142" t="b">
        <v>1</v>
      </c>
      <c r="G33" s="142" t="b">
        <v>1</v>
      </c>
      <c r="H33" s="142" t="b">
        <v>1</v>
      </c>
      <c r="I33" s="142" t="b">
        <v>1</v>
      </c>
      <c r="J33" s="144"/>
      <c r="K33" s="165" t="s">
        <v>519</v>
      </c>
      <c r="L33" s="133"/>
      <c r="M33" s="133"/>
      <c r="N33" s="133"/>
      <c r="O33" s="133"/>
      <c r="P33" s="133"/>
      <c r="Q33" s="133"/>
      <c r="R33" s="133"/>
      <c r="S33" s="133"/>
      <c r="T33" s="133"/>
      <c r="U33" s="133"/>
    </row>
    <row r="34" outlineLevel="1">
      <c r="A34" s="47"/>
      <c r="B34" s="47"/>
      <c r="C34" s="42">
        <f t="shared" si="1"/>
        <v>4</v>
      </c>
      <c r="D34" s="133" t="s">
        <v>524</v>
      </c>
      <c r="E34" s="43" t="s">
        <v>525</v>
      </c>
      <c r="F34" s="142" t="b">
        <v>1</v>
      </c>
      <c r="G34" s="142" t="b">
        <v>1</v>
      </c>
      <c r="H34" s="142" t="b">
        <v>1</v>
      </c>
      <c r="I34" s="142" t="b">
        <v>1</v>
      </c>
      <c r="J34" s="144"/>
      <c r="K34" s="165" t="s">
        <v>519</v>
      </c>
      <c r="L34" s="133"/>
      <c r="M34" s="133"/>
      <c r="N34" s="133"/>
      <c r="O34" s="133"/>
      <c r="P34" s="133"/>
      <c r="Q34" s="133"/>
      <c r="R34" s="133"/>
      <c r="S34" s="133"/>
      <c r="T34" s="133"/>
      <c r="U34" s="133"/>
    </row>
    <row r="35" outlineLevel="1">
      <c r="A35" s="47"/>
      <c r="B35" s="47"/>
      <c r="C35" s="42">
        <f t="shared" si="1"/>
        <v>4</v>
      </c>
      <c r="D35" s="133" t="s">
        <v>530</v>
      </c>
      <c r="E35" s="43" t="s">
        <v>531</v>
      </c>
      <c r="F35" s="142" t="b">
        <v>1</v>
      </c>
      <c r="G35" s="142" t="b">
        <v>1</v>
      </c>
      <c r="H35" s="142" t="b">
        <v>1</v>
      </c>
      <c r="I35" s="142" t="b">
        <v>1</v>
      </c>
      <c r="J35" s="144"/>
      <c r="K35" s="165" t="s">
        <v>519</v>
      </c>
      <c r="L35" s="133"/>
      <c r="M35" s="133"/>
      <c r="N35" s="133"/>
      <c r="O35" s="133"/>
      <c r="P35" s="133"/>
      <c r="Q35" s="133"/>
      <c r="R35" s="133"/>
      <c r="S35" s="133"/>
      <c r="T35" s="133"/>
      <c r="U35" s="133"/>
    </row>
    <row r="36" outlineLevel="1">
      <c r="A36" s="47"/>
      <c r="B36" s="47"/>
      <c r="C36" s="42">
        <f t="shared" si="1"/>
        <v>4</v>
      </c>
      <c r="D36" s="133" t="s">
        <v>534</v>
      </c>
      <c r="E36" s="43" t="s">
        <v>535</v>
      </c>
      <c r="F36" s="142" t="b">
        <v>1</v>
      </c>
      <c r="G36" s="142" t="b">
        <v>1</v>
      </c>
      <c r="H36" s="142" t="b">
        <v>1</v>
      </c>
      <c r="I36" s="142" t="b">
        <v>1</v>
      </c>
      <c r="J36" s="145"/>
      <c r="K36" s="165" t="s">
        <v>519</v>
      </c>
      <c r="L36" s="133"/>
      <c r="M36" s="133"/>
      <c r="N36" s="133"/>
      <c r="O36" s="133"/>
      <c r="P36" s="133"/>
      <c r="Q36" s="133"/>
      <c r="R36" s="133"/>
      <c r="S36" s="133"/>
      <c r="T36" s="133"/>
      <c r="U36" s="133"/>
    </row>
    <row r="37" outlineLevel="1">
      <c r="A37" s="47"/>
      <c r="B37" s="47"/>
      <c r="C37" s="42">
        <f t="shared" si="1"/>
        <v>2</v>
      </c>
      <c r="D37" s="133" t="s">
        <v>537</v>
      </c>
      <c r="E37" s="43" t="s">
        <v>538</v>
      </c>
      <c r="F37" s="142" t="b">
        <v>1</v>
      </c>
      <c r="G37" s="142" t="b">
        <v>0</v>
      </c>
      <c r="H37" s="142" t="b">
        <v>1</v>
      </c>
      <c r="I37" s="142" t="b">
        <v>0</v>
      </c>
      <c r="J37" s="144"/>
      <c r="K37" s="165" t="s">
        <v>539</v>
      </c>
      <c r="L37" s="133"/>
      <c r="M37" s="133"/>
      <c r="N37" s="133"/>
      <c r="O37" s="133"/>
      <c r="P37" s="133"/>
      <c r="Q37" s="133"/>
      <c r="R37" s="133"/>
      <c r="S37" s="133"/>
      <c r="T37" s="133"/>
      <c r="U37" s="133"/>
    </row>
    <row r="38" outlineLevel="1">
      <c r="A38" s="47"/>
      <c r="B38" s="47"/>
      <c r="C38" s="42">
        <f t="shared" si="1"/>
        <v>2</v>
      </c>
      <c r="D38" s="133" t="s">
        <v>543</v>
      </c>
      <c r="E38" s="43" t="s">
        <v>544</v>
      </c>
      <c r="F38" s="142" t="b">
        <v>1</v>
      </c>
      <c r="G38" s="142" t="b">
        <v>0</v>
      </c>
      <c r="H38" s="142" t="b">
        <v>1</v>
      </c>
      <c r="I38" s="142" t="b">
        <v>0</v>
      </c>
      <c r="J38" s="144"/>
      <c r="K38" s="165" t="s">
        <v>539</v>
      </c>
      <c r="L38" s="133"/>
      <c r="M38" s="133"/>
      <c r="N38" s="133"/>
      <c r="O38" s="133"/>
      <c r="P38" s="133"/>
      <c r="Q38" s="133"/>
      <c r="R38" s="133"/>
      <c r="S38" s="133"/>
      <c r="T38" s="133"/>
      <c r="U38" s="133"/>
    </row>
    <row r="39" outlineLevel="1">
      <c r="A39" s="47"/>
      <c r="B39" s="47"/>
      <c r="C39" s="42">
        <f t="shared" si="1"/>
        <v>2</v>
      </c>
      <c r="D39" s="133" t="s">
        <v>549</v>
      </c>
      <c r="E39" s="43" t="s">
        <v>550</v>
      </c>
      <c r="F39" s="142" t="b">
        <v>1</v>
      </c>
      <c r="G39" s="142" t="b">
        <v>0</v>
      </c>
      <c r="H39" s="142" t="b">
        <v>1</v>
      </c>
      <c r="I39" s="142" t="b">
        <v>0</v>
      </c>
      <c r="J39" s="144"/>
      <c r="K39" s="165" t="s">
        <v>551</v>
      </c>
      <c r="L39" s="133"/>
      <c r="M39" s="133"/>
      <c r="N39" s="133"/>
      <c r="O39" s="133"/>
      <c r="P39" s="133"/>
      <c r="Q39" s="133"/>
      <c r="R39" s="133"/>
      <c r="S39" s="133"/>
      <c r="T39" s="133"/>
      <c r="U39" s="133"/>
    </row>
    <row r="40" outlineLevel="1">
      <c r="A40" s="47"/>
      <c r="B40" s="47"/>
      <c r="C40" s="42">
        <f t="shared" si="1"/>
        <v>3</v>
      </c>
      <c r="D40" s="133" t="s">
        <v>556</v>
      </c>
      <c r="E40" s="43" t="s">
        <v>557</v>
      </c>
      <c r="F40" s="142" t="b">
        <v>1</v>
      </c>
      <c r="G40" s="142" t="b">
        <v>1</v>
      </c>
      <c r="H40" s="142" t="b">
        <v>1</v>
      </c>
      <c r="I40" s="142" t="b">
        <v>0</v>
      </c>
      <c r="J40" s="144"/>
      <c r="K40" s="165" t="s">
        <v>558</v>
      </c>
      <c r="L40" s="133"/>
      <c r="M40" s="133"/>
      <c r="N40" s="133"/>
      <c r="O40" s="133"/>
      <c r="P40" s="133"/>
      <c r="Q40" s="133"/>
      <c r="R40" s="133"/>
      <c r="S40" s="133"/>
      <c r="T40" s="133"/>
      <c r="U40" s="133"/>
    </row>
    <row r="41" outlineLevel="1">
      <c r="A41" s="47"/>
      <c r="B41" s="47"/>
      <c r="C41" s="42">
        <f t="shared" si="1"/>
        <v>2</v>
      </c>
      <c r="D41" s="133" t="s">
        <v>561</v>
      </c>
      <c r="E41" s="43" t="s">
        <v>562</v>
      </c>
      <c r="F41" s="142" t="b">
        <v>1</v>
      </c>
      <c r="G41" s="142" t="b">
        <v>0</v>
      </c>
      <c r="H41" s="142" t="b">
        <v>1</v>
      </c>
      <c r="I41" s="142" t="b">
        <v>0</v>
      </c>
      <c r="J41" s="144"/>
      <c r="K41" s="165" t="s">
        <v>539</v>
      </c>
      <c r="L41" s="133"/>
      <c r="M41" s="133"/>
      <c r="N41" s="133"/>
      <c r="O41" s="133"/>
      <c r="P41" s="133"/>
      <c r="Q41" s="133"/>
      <c r="R41" s="133"/>
      <c r="S41" s="133"/>
      <c r="T41" s="133"/>
      <c r="U41" s="133"/>
    </row>
    <row r="42" outlineLevel="1">
      <c r="A42" s="47"/>
      <c r="B42" s="47"/>
      <c r="C42" s="42">
        <f t="shared" si="1"/>
        <v>2</v>
      </c>
      <c r="D42" s="133" t="s">
        <v>566</v>
      </c>
      <c r="E42" s="43" t="s">
        <v>567</v>
      </c>
      <c r="F42" s="142" t="b">
        <v>1</v>
      </c>
      <c r="G42" s="142" t="b">
        <v>0</v>
      </c>
      <c r="H42" s="142" t="b">
        <v>1</v>
      </c>
      <c r="I42" s="142" t="b">
        <v>0</v>
      </c>
      <c r="J42" s="144"/>
      <c r="K42" s="165" t="s">
        <v>539</v>
      </c>
      <c r="L42" s="133"/>
      <c r="M42" s="133"/>
      <c r="N42" s="133"/>
      <c r="O42" s="133"/>
      <c r="P42" s="133"/>
      <c r="Q42" s="133"/>
      <c r="R42" s="133"/>
      <c r="S42" s="133"/>
      <c r="T42" s="133"/>
      <c r="U42" s="133"/>
    </row>
    <row r="43" outlineLevel="1">
      <c r="A43" s="50"/>
      <c r="B43" s="50"/>
      <c r="C43" s="42">
        <f t="shared" si="1"/>
        <v>3</v>
      </c>
      <c r="D43" s="148" t="s">
        <v>570</v>
      </c>
      <c r="E43" s="37" t="s">
        <v>571</v>
      </c>
      <c r="F43" s="153" t="b">
        <v>1</v>
      </c>
      <c r="G43" s="153" t="b">
        <v>0</v>
      </c>
      <c r="H43" s="153" t="b">
        <v>1</v>
      </c>
      <c r="I43" s="153" t="b">
        <v>1</v>
      </c>
      <c r="J43" s="154"/>
      <c r="K43" s="165" t="s">
        <v>574</v>
      </c>
      <c r="L43" s="133"/>
      <c r="M43" s="133"/>
      <c r="N43" s="133"/>
      <c r="O43" s="133"/>
      <c r="P43" s="133"/>
      <c r="Q43" s="133"/>
      <c r="R43" s="133"/>
      <c r="S43" s="133"/>
      <c r="T43" s="133"/>
      <c r="U43" s="133"/>
    </row>
    <row r="44">
      <c r="A44" s="97"/>
      <c r="B44" s="97"/>
      <c r="C44" s="97"/>
      <c r="D44" s="97"/>
      <c r="E44" s="97"/>
      <c r="F44" s="97"/>
      <c r="G44" s="97"/>
      <c r="H44" s="97"/>
      <c r="I44" s="97"/>
      <c r="J44" s="97"/>
      <c r="K44" s="97"/>
      <c r="L44" s="133"/>
      <c r="M44" s="133"/>
      <c r="N44" s="133"/>
      <c r="O44" s="133"/>
      <c r="P44" s="133"/>
      <c r="Q44" s="133"/>
      <c r="R44" s="133"/>
      <c r="S44" s="133"/>
      <c r="T44" s="133"/>
      <c r="U44" s="133"/>
    </row>
    <row r="45" outlineLevel="1">
      <c r="A45" s="100" t="s">
        <v>4</v>
      </c>
      <c r="C45" s="102" t="s">
        <v>184</v>
      </c>
      <c r="D45" s="103">
        <f>countif(L48:L86,TRUE)</f>
        <v>14</v>
      </c>
      <c r="E45" s="104" t="s">
        <v>195</v>
      </c>
      <c r="F45" s="102" t="s">
        <v>196</v>
      </c>
      <c r="H45" s="105">
        <f>IFERROR(__xludf.DUMMYFUNCTION("COUNTUNIQUE(D5:D43)"),39.0)</f>
        <v>39</v>
      </c>
      <c r="I45" s="107" t="s">
        <v>206</v>
      </c>
      <c r="J45" s="108"/>
      <c r="K45" s="108">
        <f>H45/3</f>
        <v>13</v>
      </c>
      <c r="L45" s="26"/>
      <c r="M45" s="26"/>
      <c r="N45" s="26"/>
      <c r="O45" s="26"/>
      <c r="P45" s="26"/>
      <c r="Q45" s="26"/>
      <c r="R45" s="26"/>
      <c r="S45" s="26"/>
      <c r="T45" s="26"/>
      <c r="U45" s="26"/>
    </row>
    <row r="46">
      <c r="A46" s="109" t="s">
        <v>216</v>
      </c>
      <c r="B46" s="13"/>
      <c r="C46" s="111">
        <v>2.0</v>
      </c>
      <c r="D46" s="9"/>
      <c r="E46" s="112" t="s">
        <v>226</v>
      </c>
      <c r="F46" s="9"/>
      <c r="G46" s="9"/>
      <c r="H46" s="9"/>
      <c r="I46" s="9"/>
      <c r="J46" s="9"/>
      <c r="K46" s="87"/>
      <c r="L46" s="133"/>
      <c r="M46" s="133"/>
      <c r="N46" s="133"/>
      <c r="O46" s="133"/>
      <c r="P46" s="133"/>
      <c r="Q46" s="133"/>
      <c r="R46" s="133"/>
      <c r="S46" s="133"/>
      <c r="T46" s="133"/>
      <c r="U46" s="133"/>
    </row>
    <row r="47">
      <c r="A47" s="17" t="s">
        <v>7</v>
      </c>
      <c r="B47" s="19"/>
      <c r="C47" s="20" t="s">
        <v>8</v>
      </c>
      <c r="D47" s="21" t="s">
        <v>9</v>
      </c>
      <c r="E47" s="31" t="s">
        <v>10</v>
      </c>
      <c r="F47" s="20" t="s">
        <v>12</v>
      </c>
      <c r="G47" s="20" t="s">
        <v>13</v>
      </c>
      <c r="H47" s="20" t="s">
        <v>234</v>
      </c>
      <c r="I47" s="20" t="s">
        <v>17</v>
      </c>
      <c r="J47" s="20"/>
      <c r="K47" s="130" t="s">
        <v>18</v>
      </c>
      <c r="L47" s="21" t="s">
        <v>235</v>
      </c>
      <c r="M47" s="133"/>
      <c r="N47" s="133"/>
      <c r="O47" s="133"/>
      <c r="P47" s="133"/>
      <c r="Q47" s="133"/>
      <c r="R47" s="133"/>
      <c r="S47" s="133"/>
      <c r="T47" s="133"/>
      <c r="U47" s="133"/>
    </row>
    <row r="48">
      <c r="A48" s="79" t="s">
        <v>19</v>
      </c>
      <c r="B48" s="123" t="s">
        <v>283</v>
      </c>
      <c r="C48" s="42">
        <f t="shared" ref="C48:C86" si="4">countif(F48:I48,TRUE)</f>
        <v>3</v>
      </c>
      <c r="D48" s="9" t="str">
        <f t="shared" ref="D48:I48" si="2">if($C5&gt;$C$46,D5,"")</f>
        <v>5.NBT.A.1</v>
      </c>
      <c r="E48" s="87" t="str">
        <f t="shared" si="2"/>
        <v>Recognize that in a multi-digit number, a digit in one place represents 10 times as much as it represents in the place to its right and 1/10 of what it represents in the place to its left.</v>
      </c>
      <c r="F48" s="115" t="b">
        <f t="shared" si="2"/>
        <v>1</v>
      </c>
      <c r="G48" s="115" t="b">
        <f t="shared" si="2"/>
        <v>1</v>
      </c>
      <c r="H48" s="115" t="b">
        <f t="shared" si="2"/>
        <v>1</v>
      </c>
      <c r="I48" s="115" t="b">
        <f t="shared" si="2"/>
        <v>0</v>
      </c>
      <c r="J48" s="9"/>
      <c r="K48" s="87" t="str">
        <f t="shared" ref="K48:K86" si="6">if($C5&gt;$C$46,K5,"")</f>
        <v>R-Understanding will assist future grades in most math operations
E-underpins the base-ten number system and will be used throughout the year
A-several NBT place value questions appear on ACT Aspire</v>
      </c>
      <c r="L48" s="116" t="b">
        <v>0</v>
      </c>
      <c r="M48" s="9" t="str">
        <f t="shared" ref="M48:U48" si="3">if($L48=TRUE,C48,"")</f>
        <v/>
      </c>
      <c r="N48" s="9" t="str">
        <f t="shared" si="3"/>
        <v/>
      </c>
      <c r="O48" s="9" t="str">
        <f t="shared" si="3"/>
        <v/>
      </c>
      <c r="P48" s="9" t="str">
        <f t="shared" si="3"/>
        <v/>
      </c>
      <c r="Q48" s="9" t="str">
        <f t="shared" si="3"/>
        <v/>
      </c>
      <c r="R48" s="9" t="str">
        <f t="shared" si="3"/>
        <v/>
      </c>
      <c r="S48" s="9" t="str">
        <f t="shared" si="3"/>
        <v/>
      </c>
      <c r="T48" s="9" t="str">
        <f t="shared" si="3"/>
        <v/>
      </c>
      <c r="U48" s="11" t="str">
        <f t="shared" si="3"/>
        <v/>
      </c>
    </row>
    <row r="49">
      <c r="A49" s="47"/>
      <c r="B49" s="47"/>
      <c r="C49" s="42">
        <f t="shared" si="4"/>
        <v>4</v>
      </c>
      <c r="D49" s="9" t="str">
        <f t="shared" ref="D49:I49" si="5">if($C6&gt;$C$46,D6,"")</f>
        <v>5.NBT.A.2</v>
      </c>
      <c r="E49" s="87" t="str">
        <f t="shared" si="5"/>
        <v>Explain patterns in the number of zeros of the product when multiplying a number by powers of 10, and explain patterns in the placement of the decimal point when a decimal is multiplied or divided by a power of 10. Use whole-number exponents to denote powers of 10.</v>
      </c>
      <c r="F49" s="115" t="b">
        <f t="shared" si="5"/>
        <v>1</v>
      </c>
      <c r="G49" s="115" t="b">
        <f t="shared" si="5"/>
        <v>1</v>
      </c>
      <c r="H49" s="115" t="b">
        <f t="shared" si="5"/>
        <v>1</v>
      </c>
      <c r="I49" s="115" t="b">
        <f t="shared" si="5"/>
        <v>1</v>
      </c>
      <c r="J49" s="9"/>
      <c r="K49" s="87" t="str">
        <f t="shared" si="6"/>
        <v>R-Understanding will assist future grades in most math operations
E-underpins the base-ten number system and will be used throughout the year
A-several NBT place value questions appear on ACT Aspire</v>
      </c>
      <c r="L49" s="169" t="b">
        <v>1</v>
      </c>
      <c r="M49" s="9">
        <f t="shared" ref="M49:U49" si="7">if($L49=TRUE,C49,"")</f>
        <v>4</v>
      </c>
      <c r="N49" s="9" t="str">
        <f t="shared" si="7"/>
        <v>5.NBT.A.2</v>
      </c>
      <c r="O49" s="9" t="str">
        <f t="shared" si="7"/>
        <v>Explain patterns in the number of zeros of the product when multiplying a number by powers of 10, and explain patterns in the placement of the decimal point when a decimal is multiplied or divided by a power of 10. Use whole-number exponents to denote powers of 10.</v>
      </c>
      <c r="P49" s="9" t="b">
        <f t="shared" si="7"/>
        <v>1</v>
      </c>
      <c r="Q49" s="9" t="b">
        <f t="shared" si="7"/>
        <v>1</v>
      </c>
      <c r="R49" s="9" t="b">
        <f t="shared" si="7"/>
        <v>1</v>
      </c>
      <c r="S49" s="9" t="b">
        <f t="shared" si="7"/>
        <v>1</v>
      </c>
      <c r="T49" s="9" t="str">
        <f t="shared" si="7"/>
        <v/>
      </c>
      <c r="U49" s="11" t="str">
        <f t="shared" si="7"/>
        <v>R-Understanding will assist future grades in most math operations
E-underpins the base-ten number system and will be used throughout the year
A-several NBT place value questions appear on ACT Aspire</v>
      </c>
    </row>
    <row r="50">
      <c r="A50" s="47"/>
      <c r="B50" s="47"/>
      <c r="C50" s="42">
        <f t="shared" si="4"/>
        <v>3</v>
      </c>
      <c r="D50" s="9" t="str">
        <f t="shared" ref="D50:I50" si="8">if($C7&gt;$C$46,D7,"")</f>
        <v>5.NBT.A.3</v>
      </c>
      <c r="E50" s="87" t="str">
        <f t="shared" si="8"/>
        <v>Read, write, and compare decimals to thousandths.</v>
      </c>
      <c r="F50" s="115" t="b">
        <f t="shared" si="8"/>
        <v>1</v>
      </c>
      <c r="G50" s="115" t="b">
        <f t="shared" si="8"/>
        <v>1</v>
      </c>
      <c r="H50" s="115" t="b">
        <f t="shared" si="8"/>
        <v>1</v>
      </c>
      <c r="I50" s="115" t="b">
        <f t="shared" si="8"/>
        <v>0</v>
      </c>
      <c r="J50" s="9"/>
      <c r="K50" s="87" t="str">
        <f t="shared" si="6"/>
        <v>R-Understanding will assist future grades in most math operations
E-underpins the base-ten number system and will be used throughout the year
A-several NBT place value questions appear on ACT Aspire</v>
      </c>
      <c r="L50" s="171" t="b">
        <v>0</v>
      </c>
      <c r="M50" s="9" t="str">
        <f t="shared" ref="M50:U50" si="9">if($L50=TRUE,C50,"")</f>
        <v/>
      </c>
      <c r="N50" s="9" t="str">
        <f t="shared" si="9"/>
        <v/>
      </c>
      <c r="O50" s="9" t="str">
        <f t="shared" si="9"/>
        <v/>
      </c>
      <c r="P50" s="9" t="str">
        <f t="shared" si="9"/>
        <v/>
      </c>
      <c r="Q50" s="9" t="str">
        <f t="shared" si="9"/>
        <v/>
      </c>
      <c r="R50" s="9" t="str">
        <f t="shared" si="9"/>
        <v/>
      </c>
      <c r="S50" s="9" t="str">
        <f t="shared" si="9"/>
        <v/>
      </c>
      <c r="T50" s="9" t="str">
        <f t="shared" si="9"/>
        <v/>
      </c>
      <c r="U50" s="11" t="str">
        <f t="shared" si="9"/>
        <v/>
      </c>
    </row>
    <row r="51">
      <c r="A51" s="47"/>
      <c r="B51" s="47"/>
      <c r="C51" s="42">
        <f t="shared" si="4"/>
        <v>0</v>
      </c>
      <c r="D51" s="9" t="str">
        <f t="shared" ref="D51:I51" si="10">if($C8&gt;$C$46,D8,"")</f>
        <v/>
      </c>
      <c r="E51" s="87" t="str">
        <f t="shared" si="10"/>
        <v/>
      </c>
      <c r="F51" s="115" t="str">
        <f t="shared" si="10"/>
        <v/>
      </c>
      <c r="G51" s="115" t="str">
        <f t="shared" si="10"/>
        <v/>
      </c>
      <c r="H51" s="115" t="str">
        <f t="shared" si="10"/>
        <v/>
      </c>
      <c r="I51" s="115" t="str">
        <f t="shared" si="10"/>
        <v/>
      </c>
      <c r="J51" s="9"/>
      <c r="K51" s="87" t="str">
        <f t="shared" si="6"/>
        <v/>
      </c>
      <c r="L51" s="169" t="b">
        <v>0</v>
      </c>
      <c r="M51" s="9" t="str">
        <f t="shared" ref="M51:U51" si="11">if($L51=TRUE,C51,"")</f>
        <v/>
      </c>
      <c r="N51" s="9" t="str">
        <f t="shared" si="11"/>
        <v/>
      </c>
      <c r="O51" s="9" t="str">
        <f t="shared" si="11"/>
        <v/>
      </c>
      <c r="P51" s="9" t="str">
        <f t="shared" si="11"/>
        <v/>
      </c>
      <c r="Q51" s="9" t="str">
        <f t="shared" si="11"/>
        <v/>
      </c>
      <c r="R51" s="9" t="str">
        <f t="shared" si="11"/>
        <v/>
      </c>
      <c r="S51" s="9" t="str">
        <f t="shared" si="11"/>
        <v/>
      </c>
      <c r="T51" s="9" t="str">
        <f t="shared" si="11"/>
        <v/>
      </c>
      <c r="U51" s="11" t="str">
        <f t="shared" si="11"/>
        <v/>
      </c>
    </row>
    <row r="52">
      <c r="A52" s="47"/>
      <c r="B52" s="47"/>
      <c r="C52" s="42">
        <f t="shared" si="4"/>
        <v>0</v>
      </c>
      <c r="D52" s="9" t="str">
        <f t="shared" ref="D52:I52" si="12">if($C9&gt;$C$46,D9,"")</f>
        <v/>
      </c>
      <c r="E52" s="87" t="str">
        <f t="shared" si="12"/>
        <v/>
      </c>
      <c r="F52" s="115" t="str">
        <f t="shared" si="12"/>
        <v/>
      </c>
      <c r="G52" s="115" t="str">
        <f t="shared" si="12"/>
        <v/>
      </c>
      <c r="H52" s="115" t="str">
        <f t="shared" si="12"/>
        <v/>
      </c>
      <c r="I52" s="115" t="str">
        <f t="shared" si="12"/>
        <v/>
      </c>
      <c r="J52" s="9"/>
      <c r="K52" s="87" t="str">
        <f t="shared" si="6"/>
        <v/>
      </c>
      <c r="L52" s="116" t="b">
        <v>0</v>
      </c>
      <c r="M52" s="9" t="str">
        <f t="shared" ref="M52:U52" si="13">if($L52=TRUE,C52,"")</f>
        <v/>
      </c>
      <c r="N52" s="9" t="str">
        <f t="shared" si="13"/>
        <v/>
      </c>
      <c r="O52" s="9" t="str">
        <f t="shared" si="13"/>
        <v/>
      </c>
      <c r="P52" s="9" t="str">
        <f t="shared" si="13"/>
        <v/>
      </c>
      <c r="Q52" s="9" t="str">
        <f t="shared" si="13"/>
        <v/>
      </c>
      <c r="R52" s="9" t="str">
        <f t="shared" si="13"/>
        <v/>
      </c>
      <c r="S52" s="9" t="str">
        <f t="shared" si="13"/>
        <v/>
      </c>
      <c r="T52" s="9" t="str">
        <f t="shared" si="13"/>
        <v/>
      </c>
      <c r="U52" s="11" t="str">
        <f t="shared" si="13"/>
        <v/>
      </c>
    </row>
    <row r="53">
      <c r="A53" s="47"/>
      <c r="B53" s="50"/>
      <c r="C53" s="35">
        <f t="shared" si="4"/>
        <v>3</v>
      </c>
      <c r="D53" s="9" t="str">
        <f t="shared" ref="D53:I53" si="14">if($C10&gt;$C$46,D10,"")</f>
        <v>5.NBT.A.4</v>
      </c>
      <c r="E53" s="87" t="str">
        <f t="shared" si="14"/>
        <v>Use place value understanding to round decimals to any place.</v>
      </c>
      <c r="F53" s="115" t="b">
        <f t="shared" si="14"/>
        <v>0</v>
      </c>
      <c r="G53" s="115" t="b">
        <f t="shared" si="14"/>
        <v>1</v>
      </c>
      <c r="H53" s="115" t="b">
        <f t="shared" si="14"/>
        <v>1</v>
      </c>
      <c r="I53" s="115" t="b">
        <f t="shared" si="14"/>
        <v>1</v>
      </c>
      <c r="J53" s="9"/>
      <c r="K53" s="87" t="str">
        <f t="shared" si="6"/>
        <v>E-Number sense skill useful when checking work
A-Assessed on ACT Aspire
L-Leverage with science concepts and making estimations</v>
      </c>
      <c r="L53" s="169" t="b">
        <v>0</v>
      </c>
      <c r="M53" s="9" t="str">
        <f t="shared" ref="M53:U53" si="15">if($L53=TRUE,C53,"")</f>
        <v/>
      </c>
      <c r="N53" s="9" t="str">
        <f t="shared" si="15"/>
        <v/>
      </c>
      <c r="O53" s="9" t="str">
        <f t="shared" si="15"/>
        <v/>
      </c>
      <c r="P53" s="9" t="str">
        <f t="shared" si="15"/>
        <v/>
      </c>
      <c r="Q53" s="9" t="str">
        <f t="shared" si="15"/>
        <v/>
      </c>
      <c r="R53" s="9" t="str">
        <f t="shared" si="15"/>
        <v/>
      </c>
      <c r="S53" s="9" t="str">
        <f t="shared" si="15"/>
        <v/>
      </c>
      <c r="T53" s="9" t="str">
        <f t="shared" si="15"/>
        <v/>
      </c>
      <c r="U53" s="11" t="str">
        <f t="shared" si="15"/>
        <v/>
      </c>
    </row>
    <row r="54" ht="55.5" customHeight="1">
      <c r="A54" s="47"/>
      <c r="B54" s="41" t="s">
        <v>329</v>
      </c>
      <c r="C54" s="42">
        <f t="shared" si="4"/>
        <v>4</v>
      </c>
      <c r="D54" s="9" t="str">
        <f t="shared" ref="D54:I54" si="16">if($C11&gt;$C$46,D11,"")</f>
        <v>5.NBT.B.5</v>
      </c>
      <c r="E54" s="87" t="str">
        <f t="shared" si="16"/>
        <v>Fluently multiply multi-digit whole numbers using the standard algorithm</v>
      </c>
      <c r="F54" s="115" t="b">
        <f t="shared" si="16"/>
        <v>1</v>
      </c>
      <c r="G54" s="115" t="b">
        <f t="shared" si="16"/>
        <v>1</v>
      </c>
      <c r="H54" s="115" t="b">
        <f t="shared" si="16"/>
        <v>1</v>
      </c>
      <c r="I54" s="115" t="b">
        <f t="shared" si="16"/>
        <v>1</v>
      </c>
      <c r="J54" s="9"/>
      <c r="K54" s="87" t="str">
        <f t="shared" si="6"/>
        <v>R-required for 6th
E-used throughout the year, higher DOKs
A-heavily assessed 
L-useful for science and social studies</v>
      </c>
      <c r="L54" s="169" t="b">
        <v>1</v>
      </c>
      <c r="M54" s="9">
        <f t="shared" ref="M54:U54" si="17">if($L54=TRUE,C54,"")</f>
        <v>4</v>
      </c>
      <c r="N54" s="9" t="str">
        <f t="shared" si="17"/>
        <v>5.NBT.B.5</v>
      </c>
      <c r="O54" s="9" t="str">
        <f t="shared" si="17"/>
        <v>Fluently multiply multi-digit whole numbers using the standard algorithm</v>
      </c>
      <c r="P54" s="9" t="b">
        <f t="shared" si="17"/>
        <v>1</v>
      </c>
      <c r="Q54" s="9" t="b">
        <f t="shared" si="17"/>
        <v>1</v>
      </c>
      <c r="R54" s="9" t="b">
        <f t="shared" si="17"/>
        <v>1</v>
      </c>
      <c r="S54" s="9" t="b">
        <f t="shared" si="17"/>
        <v>1</v>
      </c>
      <c r="T54" s="9" t="str">
        <f t="shared" si="17"/>
        <v/>
      </c>
      <c r="U54" s="11" t="str">
        <f t="shared" si="17"/>
        <v>R-required for 6th
E-used throughout the year, higher DOKs
A-heavily assessed 
L-useful for science and social studies</v>
      </c>
    </row>
    <row r="55" ht="66.0" customHeight="1">
      <c r="A55" s="47"/>
      <c r="B55" s="47"/>
      <c r="C55" s="42">
        <f t="shared" si="4"/>
        <v>4</v>
      </c>
      <c r="D55" s="9" t="str">
        <f t="shared" ref="D55:I55" si="18">if($C12&gt;$C$46,D12,"")</f>
        <v>5.NBT.B.6</v>
      </c>
      <c r="E55" s="87" t="str">
        <f t="shared" si="18"/>
        <v>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v>
      </c>
      <c r="F55" s="115" t="b">
        <f t="shared" si="18"/>
        <v>1</v>
      </c>
      <c r="G55" s="115" t="b">
        <f t="shared" si="18"/>
        <v>1</v>
      </c>
      <c r="H55" s="115" t="b">
        <f t="shared" si="18"/>
        <v>1</v>
      </c>
      <c r="I55" s="115" t="b">
        <f t="shared" si="18"/>
        <v>1</v>
      </c>
      <c r="J55" s="9"/>
      <c r="K55" s="87" t="str">
        <f t="shared" si="6"/>
        <v>R-required for 6th
E- ties into fractions and equal sharing
A-heavily assessed 
L-useful for science and social studies</v>
      </c>
      <c r="L55" s="116" t="b">
        <v>1</v>
      </c>
      <c r="M55" s="9">
        <f t="shared" ref="M55:U55" si="19">if($L55=TRUE,C55,"")</f>
        <v>4</v>
      </c>
      <c r="N55" s="9" t="str">
        <f t="shared" si="19"/>
        <v>5.NBT.B.6</v>
      </c>
      <c r="O55" s="9" t="str">
        <f t="shared" si="19"/>
        <v>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v>
      </c>
      <c r="P55" s="9" t="b">
        <f t="shared" si="19"/>
        <v>1</v>
      </c>
      <c r="Q55" s="9" t="b">
        <f t="shared" si="19"/>
        <v>1</v>
      </c>
      <c r="R55" s="9" t="b">
        <f t="shared" si="19"/>
        <v>1</v>
      </c>
      <c r="S55" s="9" t="b">
        <f t="shared" si="19"/>
        <v>1</v>
      </c>
      <c r="T55" s="9" t="str">
        <f t="shared" si="19"/>
        <v/>
      </c>
      <c r="U55" s="11" t="str">
        <f t="shared" si="19"/>
        <v>R-required for 6th
E- ties into fractions and equal sharing
A-heavily assessed 
L-useful for science and social studies</v>
      </c>
    </row>
    <row r="56" ht="69.75" customHeight="1">
      <c r="A56" s="50"/>
      <c r="B56" s="50"/>
      <c r="C56" s="35">
        <f t="shared" si="4"/>
        <v>4</v>
      </c>
      <c r="D56" s="9" t="str">
        <f t="shared" ref="D56:I56" si="20">if($C13&gt;$C$46,D13,"")</f>
        <v>5.NBT.B.7</v>
      </c>
      <c r="E56" s="87" t="str">
        <f t="shared" si="20"/>
        <v>Add, subtract, multiply, and divide decimals to hundredths, using concrete models or drawings and strategies based on place value, properties of operations, and/or the relationship between addition and subtraction; relate the strategy to a written method and explain the reasoning used.</v>
      </c>
      <c r="F56" s="115" t="b">
        <f t="shared" si="20"/>
        <v>1</v>
      </c>
      <c r="G56" s="115" t="b">
        <f t="shared" si="20"/>
        <v>1</v>
      </c>
      <c r="H56" s="115" t="b">
        <f t="shared" si="20"/>
        <v>1</v>
      </c>
      <c r="I56" s="115" t="b">
        <f t="shared" si="20"/>
        <v>1</v>
      </c>
      <c r="J56" s="9"/>
      <c r="K56" s="87" t="str">
        <f t="shared" si="6"/>
        <v>R-required for 6th
E-used throughout the year
A- 3-5 test questions
L-useful for science and social studies</v>
      </c>
      <c r="L56" s="169" t="b">
        <v>1</v>
      </c>
      <c r="M56" s="9">
        <f t="shared" ref="M56:U56" si="21">if($L56=TRUE,C56,"")</f>
        <v>4</v>
      </c>
      <c r="N56" s="9" t="str">
        <f t="shared" si="21"/>
        <v>5.NBT.B.7</v>
      </c>
      <c r="O56" s="9" t="str">
        <f t="shared" si="21"/>
        <v>Add, subtract, multiply, and divide decimals to hundredths, using concrete models or drawings and strategies based on place value, properties of operations, and/or the relationship between addition and subtraction; relate the strategy to a written method and explain the reasoning used.</v>
      </c>
      <c r="P56" s="9" t="b">
        <f t="shared" si="21"/>
        <v>1</v>
      </c>
      <c r="Q56" s="9" t="b">
        <f t="shared" si="21"/>
        <v>1</v>
      </c>
      <c r="R56" s="9" t="b">
        <f t="shared" si="21"/>
        <v>1</v>
      </c>
      <c r="S56" s="9" t="b">
        <f t="shared" si="21"/>
        <v>1</v>
      </c>
      <c r="T56" s="9" t="str">
        <f t="shared" si="21"/>
        <v/>
      </c>
      <c r="U56" s="11" t="str">
        <f t="shared" si="21"/>
        <v>R-required for 6th
E-used throughout the year
A- 3-5 test questions
L-useful for science and social studies</v>
      </c>
    </row>
    <row r="57" ht="43.5" customHeight="1">
      <c r="A57" s="66" t="s">
        <v>47</v>
      </c>
      <c r="B57" s="56" t="s">
        <v>577</v>
      </c>
      <c r="C57" s="42">
        <f t="shared" si="4"/>
        <v>3</v>
      </c>
      <c r="D57" s="9" t="str">
        <f t="shared" ref="D57:I57" si="22">if($C14&gt;$C$46,D14,"")</f>
        <v>5.OA.A.1</v>
      </c>
      <c r="E57" s="87" t="str">
        <f t="shared" si="22"/>
        <v>Use parentheses, brackets, or braces in numerical expressions, and evaluate expressions with these symbols.</v>
      </c>
      <c r="F57" s="115" t="b">
        <f t="shared" si="22"/>
        <v>1</v>
      </c>
      <c r="G57" s="115" t="b">
        <f t="shared" si="22"/>
        <v>1</v>
      </c>
      <c r="H57" s="115" t="b">
        <f t="shared" si="22"/>
        <v>1</v>
      </c>
      <c r="I57" s="115" t="b">
        <f t="shared" si="22"/>
        <v>0</v>
      </c>
      <c r="J57" s="9"/>
      <c r="K57" s="87" t="str">
        <f t="shared" si="6"/>
        <v>R-required for 6th
E-useful throughout the year, often used in multi-step problems
A-3-5 test questions</v>
      </c>
      <c r="L57" s="169" t="b">
        <v>1</v>
      </c>
      <c r="M57" s="9">
        <f t="shared" ref="M57:U57" si="23">if($L57=TRUE,C57,"")</f>
        <v>3</v>
      </c>
      <c r="N57" s="9" t="str">
        <f t="shared" si="23"/>
        <v>5.OA.A.1</v>
      </c>
      <c r="O57" s="9" t="str">
        <f t="shared" si="23"/>
        <v>Use parentheses, brackets, or braces in numerical expressions, and evaluate expressions with these symbols.</v>
      </c>
      <c r="P57" s="9" t="b">
        <f t="shared" si="23"/>
        <v>1</v>
      </c>
      <c r="Q57" s="9" t="b">
        <f t="shared" si="23"/>
        <v>1</v>
      </c>
      <c r="R57" s="9" t="b">
        <f t="shared" si="23"/>
        <v>1</v>
      </c>
      <c r="S57" s="9" t="b">
        <f t="shared" si="23"/>
        <v>0</v>
      </c>
      <c r="T57" s="9" t="str">
        <f t="shared" si="23"/>
        <v/>
      </c>
      <c r="U57" s="11" t="str">
        <f t="shared" si="23"/>
        <v>R-required for 6th
E-useful throughout the year, often used in multi-step problems
A-3-5 test questions</v>
      </c>
    </row>
    <row r="58" ht="87.75" customHeight="1">
      <c r="A58" s="47"/>
      <c r="B58" s="50"/>
      <c r="C58" s="35">
        <f t="shared" si="4"/>
        <v>3</v>
      </c>
      <c r="D58" s="9" t="str">
        <f t="shared" ref="D58:I58" si="24">if($C15&gt;$C$46,D15,"")</f>
        <v>5.OA.A.2</v>
      </c>
      <c r="E58" s="87" t="str">
        <f t="shared" si="24"/>
        <v>Write simple expressions that record calculations with numbers, and interpret numerical expressions without evaluating them. For example, express the calculation “add 8 and 7, then multiply by 2” as 2 × (8 + 7). Recognize that 3 × (18932 + 921) is three times as large as 18932 + 921, without having to calculate the indicated sum or product.</v>
      </c>
      <c r="F58" s="115" t="b">
        <f t="shared" si="24"/>
        <v>1</v>
      </c>
      <c r="G58" s="115" t="b">
        <f t="shared" si="24"/>
        <v>1</v>
      </c>
      <c r="H58" s="115" t="b">
        <f t="shared" si="24"/>
        <v>1</v>
      </c>
      <c r="I58" s="115" t="b">
        <f t="shared" si="24"/>
        <v>0</v>
      </c>
      <c r="J58" s="9"/>
      <c r="K58" s="87" t="str">
        <f t="shared" si="6"/>
        <v>R-required for 6th
E-useful throughout the year
A-3-5 test questions</v>
      </c>
      <c r="L58" s="169" t="b">
        <v>1</v>
      </c>
      <c r="M58" s="9">
        <f t="shared" ref="M58:U58" si="25">if($L58=TRUE,C58,"")</f>
        <v>3</v>
      </c>
      <c r="N58" s="9" t="str">
        <f t="shared" si="25"/>
        <v>5.OA.A.2</v>
      </c>
      <c r="O58" s="9" t="str">
        <f t="shared" si="25"/>
        <v>Write simple expressions that record calculations with numbers, and interpret numerical expressions without evaluating them. For example, express the calculation “add 8 and 7, then multiply by 2” as 2 × (8 + 7). Recognize that 3 × (18932 + 921) is three times as large as 18932 + 921, without having to calculate the indicated sum or product.</v>
      </c>
      <c r="P58" s="9" t="b">
        <f t="shared" si="25"/>
        <v>1</v>
      </c>
      <c r="Q58" s="9" t="b">
        <f t="shared" si="25"/>
        <v>1</v>
      </c>
      <c r="R58" s="9" t="b">
        <f t="shared" si="25"/>
        <v>1</v>
      </c>
      <c r="S58" s="9" t="b">
        <f t="shared" si="25"/>
        <v>0</v>
      </c>
      <c r="T58" s="9" t="str">
        <f t="shared" si="25"/>
        <v/>
      </c>
      <c r="U58" s="11" t="str">
        <f t="shared" si="25"/>
        <v>R-required for 6th
E-useful throughout the year
A-3-5 test questions</v>
      </c>
    </row>
    <row r="59" ht="117.75" customHeight="1">
      <c r="A59" s="50"/>
      <c r="B59" s="98" t="s">
        <v>371</v>
      </c>
      <c r="C59" s="35">
        <f t="shared" si="4"/>
        <v>3</v>
      </c>
      <c r="D59" s="9" t="str">
        <f t="shared" ref="D59:I59" si="26">if($C16&gt;$C$46,D16,"")</f>
        <v>5.OA.B.3</v>
      </c>
      <c r="E59" s="87" t="str">
        <f t="shared" si="26"/>
        <v>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v>
      </c>
      <c r="F59" s="115" t="b">
        <f t="shared" si="26"/>
        <v>1</v>
      </c>
      <c r="G59" s="115" t="b">
        <f t="shared" si="26"/>
        <v>0</v>
      </c>
      <c r="H59" s="115" t="b">
        <f t="shared" si="26"/>
        <v>1</v>
      </c>
      <c r="I59" s="115" t="b">
        <f t="shared" si="26"/>
        <v>1</v>
      </c>
      <c r="J59" s="9"/>
      <c r="K59" s="87" t="str">
        <f t="shared" si="6"/>
        <v>R-required for 6th
A-3-5 test questions
L-science experiments, analyzing patterns (crosscutting concept in science)</v>
      </c>
      <c r="L59" s="116" t="b">
        <v>1</v>
      </c>
      <c r="M59" s="9">
        <f t="shared" ref="M59:U59" si="27">if($L59=TRUE,C59,"")</f>
        <v>3</v>
      </c>
      <c r="N59" s="9" t="str">
        <f t="shared" si="27"/>
        <v>5.OA.B.3</v>
      </c>
      <c r="O59" s="9" t="str">
        <f t="shared" si="27"/>
        <v>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v>
      </c>
      <c r="P59" s="9" t="b">
        <f t="shared" si="27"/>
        <v>1</v>
      </c>
      <c r="Q59" s="9" t="b">
        <f t="shared" si="27"/>
        <v>0</v>
      </c>
      <c r="R59" s="9" t="b">
        <f t="shared" si="27"/>
        <v>1</v>
      </c>
      <c r="S59" s="9" t="b">
        <f t="shared" si="27"/>
        <v>1</v>
      </c>
      <c r="T59" s="9" t="str">
        <f t="shared" si="27"/>
        <v/>
      </c>
      <c r="U59" s="11" t="str">
        <f t="shared" si="27"/>
        <v>R-required for 6th
A-3-5 test questions
L-science experiments, analyzing patterns (crosscutting concept in science)</v>
      </c>
    </row>
    <row r="60" ht="123.75" customHeight="1">
      <c r="A60" s="85" t="s">
        <v>90</v>
      </c>
      <c r="B60" s="84" t="s">
        <v>379</v>
      </c>
      <c r="C60" s="42">
        <f t="shared" si="4"/>
        <v>3</v>
      </c>
      <c r="D60" s="9" t="str">
        <f t="shared" ref="D60:I60" si="28">if($C17&gt;$C$46,D17,"")</f>
        <v>5.G.A.1</v>
      </c>
      <c r="E60" s="87" t="str">
        <f t="shared" si="28"/>
        <v>Use a pair of perpendicular number lines, called axes, to define a coordinate system, with the intersection of the lines (the origin) arranged to coincide with the 0 on each line and a given point in the plane located by using an ordered pair of numbers, called its coordinates. Understand that the first number indicates how far to travel from the origin in the direction of one axis, and the second number indicates how far to travel in the direction of the second axis, with the convention that the names of the two axes and the coordinates correspond (e.g., x-axis and x-coordinate, y-axis and y-coordinate).</v>
      </c>
      <c r="F60" s="115" t="b">
        <f t="shared" si="28"/>
        <v>1</v>
      </c>
      <c r="G60" s="115" t="b">
        <f t="shared" si="28"/>
        <v>0</v>
      </c>
      <c r="H60" s="115" t="b">
        <f t="shared" si="28"/>
        <v>1</v>
      </c>
      <c r="I60" s="115" t="b">
        <f t="shared" si="28"/>
        <v>1</v>
      </c>
      <c r="J60" s="9"/>
      <c r="K60" s="87" t="str">
        <f t="shared" si="6"/>
        <v>R-required for 6th
A-3-5 test questions for geometry
L-foundational skill for creating data representations in science</v>
      </c>
      <c r="L60" s="169" t="b">
        <v>0</v>
      </c>
      <c r="M60" s="9" t="str">
        <f t="shared" ref="M60:U60" si="29">if($L60=TRUE,C60,"")</f>
        <v/>
      </c>
      <c r="N60" s="9" t="str">
        <f t="shared" si="29"/>
        <v/>
      </c>
      <c r="O60" s="9" t="str">
        <f t="shared" si="29"/>
        <v/>
      </c>
      <c r="P60" s="9" t="str">
        <f t="shared" si="29"/>
        <v/>
      </c>
      <c r="Q60" s="9" t="str">
        <f t="shared" si="29"/>
        <v/>
      </c>
      <c r="R60" s="9" t="str">
        <f t="shared" si="29"/>
        <v/>
      </c>
      <c r="S60" s="9" t="str">
        <f t="shared" si="29"/>
        <v/>
      </c>
      <c r="T60" s="9" t="str">
        <f t="shared" si="29"/>
        <v/>
      </c>
      <c r="U60" s="11" t="str">
        <f t="shared" si="29"/>
        <v/>
      </c>
    </row>
    <row r="61" ht="58.5" customHeight="1">
      <c r="A61" s="47"/>
      <c r="B61" s="50"/>
      <c r="C61" s="35">
        <f t="shared" si="4"/>
        <v>3</v>
      </c>
      <c r="D61" s="9" t="str">
        <f t="shared" ref="D61:I61" si="30">if($C18&gt;$C$46,D18,"")</f>
        <v>5.G.A.2</v>
      </c>
      <c r="E61" s="87" t="str">
        <f t="shared" si="30"/>
        <v>Represent real world and mathematical problems by graphing points in the first quadrant of the coordinate plane, and interpret coordinate values of points in the context of the situation.</v>
      </c>
      <c r="F61" s="115" t="b">
        <f t="shared" si="30"/>
        <v>1</v>
      </c>
      <c r="G61" s="115" t="b">
        <f t="shared" si="30"/>
        <v>0</v>
      </c>
      <c r="H61" s="115" t="b">
        <f t="shared" si="30"/>
        <v>1</v>
      </c>
      <c r="I61" s="115" t="b">
        <f t="shared" si="30"/>
        <v>1</v>
      </c>
      <c r="J61" s="9"/>
      <c r="K61" s="87" t="str">
        <f t="shared" si="6"/>
        <v>R-required for 6th
A-3-5 test questions for geometry
L-foundational skill for creating data representations in science</v>
      </c>
      <c r="L61" s="169" t="b">
        <v>1</v>
      </c>
      <c r="M61" s="9">
        <f t="shared" ref="M61:U61" si="31">if($L61=TRUE,C61,"")</f>
        <v>3</v>
      </c>
      <c r="N61" s="9" t="str">
        <f t="shared" si="31"/>
        <v>5.G.A.2</v>
      </c>
      <c r="O61" s="9" t="str">
        <f t="shared" si="31"/>
        <v>Represent real world and mathematical problems by graphing points in the first quadrant of the coordinate plane, and interpret coordinate values of points in the context of the situation.</v>
      </c>
      <c r="P61" s="9" t="b">
        <f t="shared" si="31"/>
        <v>1</v>
      </c>
      <c r="Q61" s="9" t="b">
        <f t="shared" si="31"/>
        <v>0</v>
      </c>
      <c r="R61" s="9" t="b">
        <f t="shared" si="31"/>
        <v>1</v>
      </c>
      <c r="S61" s="9" t="b">
        <f t="shared" si="31"/>
        <v>1</v>
      </c>
      <c r="T61" s="9" t="str">
        <f t="shared" si="31"/>
        <v/>
      </c>
      <c r="U61" s="11" t="str">
        <f t="shared" si="31"/>
        <v>R-required for 6th
A-3-5 test questions for geometry
L-foundational skill for creating data representations in science</v>
      </c>
    </row>
    <row r="62" ht="43.5" customHeight="1">
      <c r="A62" s="47"/>
      <c r="B62" s="84" t="s">
        <v>396</v>
      </c>
      <c r="C62" s="42">
        <f t="shared" si="4"/>
        <v>0</v>
      </c>
      <c r="D62" s="9" t="str">
        <f t="shared" ref="D62:I62" si="32">if($C19&gt;$C$46,D19,"")</f>
        <v/>
      </c>
      <c r="E62" s="87" t="str">
        <f t="shared" si="32"/>
        <v/>
      </c>
      <c r="F62" s="115" t="str">
        <f t="shared" si="32"/>
        <v/>
      </c>
      <c r="G62" s="115" t="str">
        <f t="shared" si="32"/>
        <v/>
      </c>
      <c r="H62" s="115" t="str">
        <f t="shared" si="32"/>
        <v/>
      </c>
      <c r="I62" s="115" t="str">
        <f t="shared" si="32"/>
        <v/>
      </c>
      <c r="J62" s="9"/>
      <c r="K62" s="87" t="str">
        <f t="shared" si="6"/>
        <v/>
      </c>
      <c r="L62" s="116" t="b">
        <v>0</v>
      </c>
      <c r="M62" s="9" t="str">
        <f t="shared" ref="M62:U62" si="33">if($L62=TRUE,C62,"")</f>
        <v/>
      </c>
      <c r="N62" s="9" t="str">
        <f t="shared" si="33"/>
        <v/>
      </c>
      <c r="O62" s="9" t="str">
        <f t="shared" si="33"/>
        <v/>
      </c>
      <c r="P62" s="9" t="str">
        <f t="shared" si="33"/>
        <v/>
      </c>
      <c r="Q62" s="9" t="str">
        <f t="shared" si="33"/>
        <v/>
      </c>
      <c r="R62" s="9" t="str">
        <f t="shared" si="33"/>
        <v/>
      </c>
      <c r="S62" s="9" t="str">
        <f t="shared" si="33"/>
        <v/>
      </c>
      <c r="T62" s="9" t="str">
        <f t="shared" si="33"/>
        <v/>
      </c>
      <c r="U62" s="11" t="str">
        <f t="shared" si="33"/>
        <v/>
      </c>
    </row>
    <row r="63" ht="43.5" customHeight="1">
      <c r="A63" s="50"/>
      <c r="B63" s="50"/>
      <c r="C63" s="35">
        <f t="shared" si="4"/>
        <v>0</v>
      </c>
      <c r="D63" s="9" t="str">
        <f t="shared" ref="D63:I63" si="34">if($C20&gt;$C$46,D20,"")</f>
        <v/>
      </c>
      <c r="E63" s="87" t="str">
        <f t="shared" si="34"/>
        <v/>
      </c>
      <c r="F63" s="115" t="str">
        <f t="shared" si="34"/>
        <v/>
      </c>
      <c r="G63" s="115" t="str">
        <f t="shared" si="34"/>
        <v/>
      </c>
      <c r="H63" s="115" t="str">
        <f t="shared" si="34"/>
        <v/>
      </c>
      <c r="I63" s="115" t="str">
        <f t="shared" si="34"/>
        <v/>
      </c>
      <c r="J63" s="9"/>
      <c r="K63" s="87" t="str">
        <f t="shared" si="6"/>
        <v/>
      </c>
      <c r="L63" s="169" t="b">
        <v>0</v>
      </c>
      <c r="M63" s="9" t="str">
        <f t="shared" ref="M63:U63" si="35">if($L63=TRUE,C63,"")</f>
        <v/>
      </c>
      <c r="N63" s="9" t="str">
        <f t="shared" si="35"/>
        <v/>
      </c>
      <c r="O63" s="9" t="str">
        <f t="shared" si="35"/>
        <v/>
      </c>
      <c r="P63" s="9" t="str">
        <f t="shared" si="35"/>
        <v/>
      </c>
      <c r="Q63" s="9" t="str">
        <f t="shared" si="35"/>
        <v/>
      </c>
      <c r="R63" s="9" t="str">
        <f t="shared" si="35"/>
        <v/>
      </c>
      <c r="S63" s="9" t="str">
        <f t="shared" si="35"/>
        <v/>
      </c>
      <c r="T63" s="9" t="str">
        <f t="shared" si="35"/>
        <v/>
      </c>
      <c r="U63" s="11" t="str">
        <f t="shared" si="35"/>
        <v/>
      </c>
    </row>
    <row r="64">
      <c r="A64" s="94" t="s">
        <v>124</v>
      </c>
      <c r="B64" s="160" t="s">
        <v>415</v>
      </c>
      <c r="C64" s="35">
        <f t="shared" si="4"/>
        <v>3</v>
      </c>
      <c r="D64" s="9" t="str">
        <f t="shared" ref="D64:I64" si="36">if($C21&gt;$C$46,D21,"")</f>
        <v>5.MD.A.1</v>
      </c>
      <c r="E64" s="87" t="str">
        <f t="shared" si="36"/>
        <v>Convert among different-sized standard measurement units within a given measurement system (e.g., convert 5 cm to 0.05 m), and use these conversions in solving multistep, real world problems.</v>
      </c>
      <c r="F64" s="115" t="b">
        <f t="shared" si="36"/>
        <v>1</v>
      </c>
      <c r="G64" s="115" t="b">
        <f t="shared" si="36"/>
        <v>1</v>
      </c>
      <c r="H64" s="115" t="b">
        <f t="shared" si="36"/>
        <v>0</v>
      </c>
      <c r="I64" s="115" t="b">
        <f t="shared" si="36"/>
        <v>1</v>
      </c>
      <c r="J64" s="9"/>
      <c r="K64" s="87" t="str">
        <f t="shared" si="6"/>
        <v>R-utilized 6th
E- comes up again with word problems and multi-step problems
A-not assessed
L-useful for conversions in future grades
</v>
      </c>
      <c r="L64" s="169" t="b">
        <v>1</v>
      </c>
      <c r="M64" s="9">
        <f t="shared" ref="M64:U64" si="37">if($L64=TRUE,C64,"")</f>
        <v>3</v>
      </c>
      <c r="N64" s="9" t="str">
        <f t="shared" si="37"/>
        <v>5.MD.A.1</v>
      </c>
      <c r="O64" s="9" t="str">
        <f t="shared" si="37"/>
        <v>Convert among different-sized standard measurement units within a given measurement system (e.g., convert 5 cm to 0.05 m), and use these conversions in solving multistep, real world problems.</v>
      </c>
      <c r="P64" s="9" t="b">
        <f t="shared" si="37"/>
        <v>1</v>
      </c>
      <c r="Q64" s="9" t="b">
        <f t="shared" si="37"/>
        <v>1</v>
      </c>
      <c r="R64" s="9" t="b">
        <f t="shared" si="37"/>
        <v>0</v>
      </c>
      <c r="S64" s="9" t="b">
        <f t="shared" si="37"/>
        <v>1</v>
      </c>
      <c r="T64" s="9" t="str">
        <f t="shared" si="37"/>
        <v/>
      </c>
      <c r="U64" s="11" t="str">
        <f t="shared" si="37"/>
        <v>R-utilized 6th
E- comes up again with word problems and multi-step problems
A-not assessed
L-useful for conversions in future grades
</v>
      </c>
    </row>
    <row r="65" ht="39.75" customHeight="1">
      <c r="A65" s="47"/>
      <c r="B65" s="93" t="s">
        <v>157</v>
      </c>
      <c r="C65" s="35">
        <f t="shared" si="4"/>
        <v>0</v>
      </c>
      <c r="D65" s="9" t="str">
        <f t="shared" ref="D65:I65" si="38">if($C22&gt;$C$46,D22,"")</f>
        <v/>
      </c>
      <c r="E65" s="87" t="str">
        <f t="shared" si="38"/>
        <v/>
      </c>
      <c r="F65" s="115" t="str">
        <f t="shared" si="38"/>
        <v/>
      </c>
      <c r="G65" s="115" t="str">
        <f t="shared" si="38"/>
        <v/>
      </c>
      <c r="H65" s="115" t="str">
        <f t="shared" si="38"/>
        <v/>
      </c>
      <c r="I65" s="115" t="str">
        <f t="shared" si="38"/>
        <v/>
      </c>
      <c r="J65" s="9"/>
      <c r="K65" s="87" t="str">
        <f t="shared" si="6"/>
        <v/>
      </c>
      <c r="L65" s="169" t="b">
        <v>0</v>
      </c>
      <c r="M65" s="9" t="str">
        <f t="shared" ref="M65:U65" si="39">if($L65=TRUE,C65,"")</f>
        <v/>
      </c>
      <c r="N65" s="9" t="str">
        <f t="shared" si="39"/>
        <v/>
      </c>
      <c r="O65" s="9" t="str">
        <f t="shared" si="39"/>
        <v/>
      </c>
      <c r="P65" s="9" t="str">
        <f t="shared" si="39"/>
        <v/>
      </c>
      <c r="Q65" s="9" t="str">
        <f t="shared" si="39"/>
        <v/>
      </c>
      <c r="R65" s="9" t="str">
        <f t="shared" si="39"/>
        <v/>
      </c>
      <c r="S65" s="9" t="str">
        <f t="shared" si="39"/>
        <v/>
      </c>
      <c r="T65" s="9" t="str">
        <f t="shared" si="39"/>
        <v/>
      </c>
      <c r="U65" s="11" t="str">
        <f t="shared" si="39"/>
        <v/>
      </c>
    </row>
    <row r="66">
      <c r="A66" s="47"/>
      <c r="B66" s="119" t="s">
        <v>434</v>
      </c>
      <c r="C66" s="42">
        <f t="shared" si="4"/>
        <v>3</v>
      </c>
      <c r="D66" s="9" t="str">
        <f t="shared" ref="D66:I66" si="40">if($C23&gt;$C$46,D23,"")</f>
        <v>5.MD.C.3</v>
      </c>
      <c r="E66" s="87" t="str">
        <f t="shared" si="40"/>
        <v>Recognize volume as an attribute of solid figures and understand concepts of volume measurement.</v>
      </c>
      <c r="F66" s="115" t="b">
        <f t="shared" si="40"/>
        <v>1</v>
      </c>
      <c r="G66" s="115" t="b">
        <f t="shared" si="40"/>
        <v>0</v>
      </c>
      <c r="H66" s="115" t="b">
        <f t="shared" si="40"/>
        <v>1</v>
      </c>
      <c r="I66" s="115" t="b">
        <f t="shared" si="40"/>
        <v>1</v>
      </c>
      <c r="J66" s="9"/>
      <c r="K66" s="87" t="str">
        <f t="shared" si="6"/>
        <v>R-foundational for 6th
A-3-5 test questions for geometry
L-foundational skill for creating data representations in science</v>
      </c>
      <c r="L66" s="116" t="b">
        <v>0</v>
      </c>
      <c r="M66" s="9" t="str">
        <f t="shared" ref="M66:U66" si="41">if($L66=TRUE,C66,"")</f>
        <v/>
      </c>
      <c r="N66" s="9" t="str">
        <f t="shared" si="41"/>
        <v/>
      </c>
      <c r="O66" s="9" t="str">
        <f t="shared" si="41"/>
        <v/>
      </c>
      <c r="P66" s="9" t="str">
        <f t="shared" si="41"/>
        <v/>
      </c>
      <c r="Q66" s="9" t="str">
        <f t="shared" si="41"/>
        <v/>
      </c>
      <c r="R66" s="9" t="str">
        <f t="shared" si="41"/>
        <v/>
      </c>
      <c r="S66" s="9" t="str">
        <f t="shared" si="41"/>
        <v/>
      </c>
      <c r="T66" s="9" t="str">
        <f t="shared" si="41"/>
        <v/>
      </c>
      <c r="U66" s="11" t="str">
        <f t="shared" si="41"/>
        <v/>
      </c>
    </row>
    <row r="67">
      <c r="A67" s="47"/>
      <c r="B67" s="47"/>
      <c r="C67" s="42">
        <f t="shared" si="4"/>
        <v>3</v>
      </c>
      <c r="D67" s="9" t="str">
        <f t="shared" ref="D67:I67" si="42">if($C24&gt;$C$46,D24,"")</f>
        <v>5.MD.C.3a</v>
      </c>
      <c r="E67" s="87" t="str">
        <f t="shared" si="42"/>
        <v>A cube with side length 1 unit, called a “unit cube,” is said to have “one cubic unit” of volume, and can be used to measure volume.</v>
      </c>
      <c r="F67" s="115" t="b">
        <f t="shared" si="42"/>
        <v>1</v>
      </c>
      <c r="G67" s="115" t="b">
        <f t="shared" si="42"/>
        <v>0</v>
      </c>
      <c r="H67" s="115" t="b">
        <f t="shared" si="42"/>
        <v>1</v>
      </c>
      <c r="I67" s="115" t="b">
        <f t="shared" si="42"/>
        <v>1</v>
      </c>
      <c r="J67" s="9"/>
      <c r="K67" s="87" t="str">
        <f t="shared" si="6"/>
        <v>R-Foundational for 6th 
A-3-5 questions for measurement and data
L-Volume is used throughout experiments in science</v>
      </c>
      <c r="L67" s="169" t="b">
        <v>0</v>
      </c>
      <c r="M67" s="9" t="str">
        <f t="shared" ref="M67:U67" si="43">if($L67=TRUE,C67,"")</f>
        <v/>
      </c>
      <c r="N67" s="9" t="str">
        <f t="shared" si="43"/>
        <v/>
      </c>
      <c r="O67" s="9" t="str">
        <f t="shared" si="43"/>
        <v/>
      </c>
      <c r="P67" s="9" t="str">
        <f t="shared" si="43"/>
        <v/>
      </c>
      <c r="Q67" s="9" t="str">
        <f t="shared" si="43"/>
        <v/>
      </c>
      <c r="R67" s="9" t="str">
        <f t="shared" si="43"/>
        <v/>
      </c>
      <c r="S67" s="9" t="str">
        <f t="shared" si="43"/>
        <v/>
      </c>
      <c r="T67" s="9" t="str">
        <f t="shared" si="43"/>
        <v/>
      </c>
      <c r="U67" s="11" t="str">
        <f t="shared" si="43"/>
        <v/>
      </c>
    </row>
    <row r="68">
      <c r="A68" s="47"/>
      <c r="B68" s="47"/>
      <c r="C68" s="42">
        <f t="shared" si="4"/>
        <v>3</v>
      </c>
      <c r="D68" s="9" t="str">
        <f t="shared" ref="D68:I68" si="44">if($C25&gt;$C$46,D25,"")</f>
        <v>5.MD.C.3b</v>
      </c>
      <c r="E68" s="87" t="str">
        <f t="shared" si="44"/>
        <v>A solid figure which can be packed without gaps or overlaps using n unit cubes is said to have a volume of n cubic units.</v>
      </c>
      <c r="F68" s="115" t="b">
        <f t="shared" si="44"/>
        <v>1</v>
      </c>
      <c r="G68" s="115" t="b">
        <f t="shared" si="44"/>
        <v>0</v>
      </c>
      <c r="H68" s="115" t="b">
        <f t="shared" si="44"/>
        <v>1</v>
      </c>
      <c r="I68" s="115" t="b">
        <f t="shared" si="44"/>
        <v>1</v>
      </c>
      <c r="J68" s="9"/>
      <c r="K68" s="87" t="str">
        <f t="shared" si="6"/>
        <v>R-Foundational for 6th 
A-3-5 questions for measurement and data
L-Volume is used throughout experiments in science</v>
      </c>
      <c r="L68" s="171" t="b">
        <v>0</v>
      </c>
      <c r="M68" s="9" t="str">
        <f t="shared" ref="M68:U68" si="45">if($L68=TRUE,C68,"")</f>
        <v/>
      </c>
      <c r="N68" s="9" t="str">
        <f t="shared" si="45"/>
        <v/>
      </c>
      <c r="O68" s="9" t="str">
        <f t="shared" si="45"/>
        <v/>
      </c>
      <c r="P68" s="9" t="str">
        <f t="shared" si="45"/>
        <v/>
      </c>
      <c r="Q68" s="9" t="str">
        <f t="shared" si="45"/>
        <v/>
      </c>
      <c r="R68" s="9" t="str">
        <f t="shared" si="45"/>
        <v/>
      </c>
      <c r="S68" s="9" t="str">
        <f t="shared" si="45"/>
        <v/>
      </c>
      <c r="T68" s="9" t="str">
        <f t="shared" si="45"/>
        <v/>
      </c>
      <c r="U68" s="11" t="str">
        <f t="shared" si="45"/>
        <v/>
      </c>
    </row>
    <row r="69">
      <c r="A69" s="47"/>
      <c r="B69" s="47"/>
      <c r="C69" s="42">
        <f t="shared" si="4"/>
        <v>3</v>
      </c>
      <c r="D69" s="9" t="str">
        <f t="shared" ref="D69:I69" si="46">if($C26&gt;$C$46,D26,"")</f>
        <v>5.MD.C.4</v>
      </c>
      <c r="E69" s="87" t="str">
        <f t="shared" si="46"/>
        <v>Measure volumes by counting unit cubes, using cubic cm, cubic in, cubic ft, and improvised units.</v>
      </c>
      <c r="F69" s="115" t="b">
        <f t="shared" si="46"/>
        <v>1</v>
      </c>
      <c r="G69" s="115" t="b">
        <f t="shared" si="46"/>
        <v>0</v>
      </c>
      <c r="H69" s="115" t="b">
        <f t="shared" si="46"/>
        <v>1</v>
      </c>
      <c r="I69" s="115" t="b">
        <f t="shared" si="46"/>
        <v>1</v>
      </c>
      <c r="J69" s="9"/>
      <c r="K69" s="87" t="str">
        <f t="shared" si="6"/>
        <v>R-Foundational for 6th 
A-3-5 questions for measurement and data
L-Volume is used throughout experiments in science</v>
      </c>
      <c r="L69" s="116" t="b">
        <v>0</v>
      </c>
      <c r="M69" s="9" t="str">
        <f t="shared" ref="M69:U69" si="47">if($L69=TRUE,C69,"")</f>
        <v/>
      </c>
      <c r="N69" s="9" t="str">
        <f t="shared" si="47"/>
        <v/>
      </c>
      <c r="O69" s="9" t="str">
        <f t="shared" si="47"/>
        <v/>
      </c>
      <c r="P69" s="9" t="str">
        <f t="shared" si="47"/>
        <v/>
      </c>
      <c r="Q69" s="9" t="str">
        <f t="shared" si="47"/>
        <v/>
      </c>
      <c r="R69" s="9" t="str">
        <f t="shared" si="47"/>
        <v/>
      </c>
      <c r="S69" s="9" t="str">
        <f t="shared" si="47"/>
        <v/>
      </c>
      <c r="T69" s="9" t="str">
        <f t="shared" si="47"/>
        <v/>
      </c>
      <c r="U69" s="11" t="str">
        <f t="shared" si="47"/>
        <v/>
      </c>
    </row>
    <row r="70">
      <c r="A70" s="47"/>
      <c r="B70" s="47"/>
      <c r="C70" s="42">
        <f t="shared" si="4"/>
        <v>3</v>
      </c>
      <c r="D70" s="9" t="str">
        <f t="shared" ref="D70:I70" si="48">if($C27&gt;$C$46,D27,"")</f>
        <v>5.MD.C.5</v>
      </c>
      <c r="E70" s="87" t="str">
        <f t="shared" si="48"/>
        <v>Relate volume to the operations of multiplication and addition and solve real world and mathematical problems involving volume. (See 5.a &amp;5.b)</v>
      </c>
      <c r="F70" s="115" t="b">
        <f t="shared" si="48"/>
        <v>1</v>
      </c>
      <c r="G70" s="115" t="b">
        <f t="shared" si="48"/>
        <v>0</v>
      </c>
      <c r="H70" s="115" t="b">
        <f t="shared" si="48"/>
        <v>1</v>
      </c>
      <c r="I70" s="115" t="b">
        <f t="shared" si="48"/>
        <v>1</v>
      </c>
      <c r="J70" s="9"/>
      <c r="K70" s="87" t="str">
        <f t="shared" si="6"/>
        <v>R-Foundational for 6th 
A-3-5 questions for measurement and data
L-Volume is used throughout experiments in science</v>
      </c>
      <c r="L70" s="169" t="b">
        <v>1</v>
      </c>
      <c r="M70" s="9">
        <f t="shared" ref="M70:U70" si="49">if($L70=TRUE,C70,"")</f>
        <v>3</v>
      </c>
      <c r="N70" s="9" t="str">
        <f t="shared" si="49"/>
        <v>5.MD.C.5</v>
      </c>
      <c r="O70" s="9" t="str">
        <f t="shared" si="49"/>
        <v>Relate volume to the operations of multiplication and addition and solve real world and mathematical problems involving volume. (See 5.a &amp;5.b)</v>
      </c>
      <c r="P70" s="9" t="b">
        <f t="shared" si="49"/>
        <v>1</v>
      </c>
      <c r="Q70" s="9" t="b">
        <f t="shared" si="49"/>
        <v>0</v>
      </c>
      <c r="R70" s="9" t="b">
        <f t="shared" si="49"/>
        <v>1</v>
      </c>
      <c r="S70" s="9" t="b">
        <f t="shared" si="49"/>
        <v>1</v>
      </c>
      <c r="T70" s="9" t="str">
        <f t="shared" si="49"/>
        <v/>
      </c>
      <c r="U70" s="11" t="str">
        <f t="shared" si="49"/>
        <v>R-Foundational for 6th 
A-3-5 questions for measurement and data
L-Volume is used throughout experiments in science</v>
      </c>
    </row>
    <row r="71">
      <c r="A71" s="47"/>
      <c r="B71" s="47"/>
      <c r="C71" s="42">
        <f t="shared" si="4"/>
        <v>3</v>
      </c>
      <c r="D71" s="9" t="str">
        <f t="shared" ref="D71:I71" si="50">if($C28&gt;$C$46,D28,"")</f>
        <v>5.MD.C.5a</v>
      </c>
      <c r="E71" s="87" t="str">
        <f t="shared" si="50"/>
        <v>Find the volume of a right rectangular prism with whole-number side lengths by packing it with unit cubes, and show that the volume is the same as would be found by multiplying the edge lengths, equivalently by multiplying the height by the area of the base. Represent threefold whole-number products as volumes, e.g., to represent the associative property of multiplication.</v>
      </c>
      <c r="F71" s="115" t="b">
        <f t="shared" si="50"/>
        <v>1</v>
      </c>
      <c r="G71" s="115" t="b">
        <f t="shared" si="50"/>
        <v>0</v>
      </c>
      <c r="H71" s="115" t="b">
        <f t="shared" si="50"/>
        <v>1</v>
      </c>
      <c r="I71" s="115" t="b">
        <f t="shared" si="50"/>
        <v>1</v>
      </c>
      <c r="J71" s="9"/>
      <c r="K71" s="87" t="str">
        <f t="shared" si="6"/>
        <v>R-Foundational for 6th 
A-3-5 questions for measurement and data
L-Volume is used throughout experiments in science</v>
      </c>
      <c r="L71" s="171" t="b">
        <v>0</v>
      </c>
      <c r="M71" s="9" t="str">
        <f t="shared" ref="M71:U71" si="51">if($L71=TRUE,C71,"")</f>
        <v/>
      </c>
      <c r="N71" s="9" t="str">
        <f t="shared" si="51"/>
        <v/>
      </c>
      <c r="O71" s="9" t="str">
        <f t="shared" si="51"/>
        <v/>
      </c>
      <c r="P71" s="9" t="str">
        <f t="shared" si="51"/>
        <v/>
      </c>
      <c r="Q71" s="9" t="str">
        <f t="shared" si="51"/>
        <v/>
      </c>
      <c r="R71" s="9" t="str">
        <f t="shared" si="51"/>
        <v/>
      </c>
      <c r="S71" s="9" t="str">
        <f t="shared" si="51"/>
        <v/>
      </c>
      <c r="T71" s="9" t="str">
        <f t="shared" si="51"/>
        <v/>
      </c>
      <c r="U71" s="11" t="str">
        <f t="shared" si="51"/>
        <v/>
      </c>
    </row>
    <row r="72">
      <c r="A72" s="47"/>
      <c r="B72" s="47"/>
      <c r="C72" s="42">
        <f t="shared" si="4"/>
        <v>3</v>
      </c>
      <c r="D72" s="9" t="str">
        <f t="shared" ref="D72:I72" si="52">if($C29&gt;$C$46,D29,"")</f>
        <v>5.MD.C.5b</v>
      </c>
      <c r="E72" s="87" t="str">
        <f t="shared" si="52"/>
        <v>Apply the formulas V = l × w × h and V = b × h for rectangular prisms to find volumes of right rectangular prisms with whole-number edge lengths in the context of solving real world and mathematical problems.</v>
      </c>
      <c r="F72" s="115" t="b">
        <f t="shared" si="52"/>
        <v>1</v>
      </c>
      <c r="G72" s="115" t="b">
        <f t="shared" si="52"/>
        <v>0</v>
      </c>
      <c r="H72" s="115" t="b">
        <f t="shared" si="52"/>
        <v>1</v>
      </c>
      <c r="I72" s="115" t="b">
        <f t="shared" si="52"/>
        <v>1</v>
      </c>
      <c r="J72" s="9"/>
      <c r="K72" s="87" t="str">
        <f t="shared" si="6"/>
        <v>R-Foundational for 6th 
A-3-5 questions for measurement and data
L-Volume is used throughout experiments in science</v>
      </c>
      <c r="L72" s="169" t="b">
        <v>0</v>
      </c>
      <c r="M72" s="9" t="str">
        <f t="shared" ref="M72:U72" si="53">if($L72=TRUE,C72,"")</f>
        <v/>
      </c>
      <c r="N72" s="9" t="str">
        <f t="shared" si="53"/>
        <v/>
      </c>
      <c r="O72" s="9" t="str">
        <f t="shared" si="53"/>
        <v/>
      </c>
      <c r="P72" s="9" t="str">
        <f t="shared" si="53"/>
        <v/>
      </c>
      <c r="Q72" s="9" t="str">
        <f t="shared" si="53"/>
        <v/>
      </c>
      <c r="R72" s="9" t="str">
        <f t="shared" si="53"/>
        <v/>
      </c>
      <c r="S72" s="9" t="str">
        <f t="shared" si="53"/>
        <v/>
      </c>
      <c r="T72" s="9" t="str">
        <f t="shared" si="53"/>
        <v/>
      </c>
      <c r="U72" s="11" t="str">
        <f t="shared" si="53"/>
        <v/>
      </c>
    </row>
    <row r="73">
      <c r="A73" s="50"/>
      <c r="B73" s="50"/>
      <c r="C73" s="35">
        <f t="shared" si="4"/>
        <v>3</v>
      </c>
      <c r="D73" s="9" t="str">
        <f t="shared" ref="D73:I73" si="54">if($C30&gt;$C$46,D30,"")</f>
        <v>5.MD.C.5c</v>
      </c>
      <c r="E73" s="87" t="str">
        <f t="shared" si="54"/>
        <v>Recognize volume as additive. Find volumes of solid figures composed of two non-overlapping right rectangular prisms by adding the volumes of the non-overlapping parts, applying this technique to solve real world problems.</v>
      </c>
      <c r="F73" s="115" t="b">
        <f t="shared" si="54"/>
        <v>1</v>
      </c>
      <c r="G73" s="115" t="b">
        <f t="shared" si="54"/>
        <v>0</v>
      </c>
      <c r="H73" s="115" t="b">
        <f t="shared" si="54"/>
        <v>1</v>
      </c>
      <c r="I73" s="115" t="b">
        <f t="shared" si="54"/>
        <v>1</v>
      </c>
      <c r="J73" s="9"/>
      <c r="K73" s="87" t="str">
        <f t="shared" si="6"/>
        <v>R-Foundational for 6th 
A-3-5 questions for measurement and data
L-Volume is used throughout experiments in science</v>
      </c>
      <c r="L73" s="116" t="b">
        <v>0</v>
      </c>
      <c r="M73" s="9" t="str">
        <f t="shared" ref="M73:U73" si="55">if($L73=TRUE,C73,"")</f>
        <v/>
      </c>
      <c r="N73" s="9" t="str">
        <f t="shared" si="55"/>
        <v/>
      </c>
      <c r="O73" s="9" t="str">
        <f t="shared" si="55"/>
        <v/>
      </c>
      <c r="P73" s="9" t="str">
        <f t="shared" si="55"/>
        <v/>
      </c>
      <c r="Q73" s="9" t="str">
        <f t="shared" si="55"/>
        <v/>
      </c>
      <c r="R73" s="9" t="str">
        <f t="shared" si="55"/>
        <v/>
      </c>
      <c r="S73" s="9" t="str">
        <f t="shared" si="55"/>
        <v/>
      </c>
      <c r="T73" s="9" t="str">
        <f t="shared" si="55"/>
        <v/>
      </c>
      <c r="U73" s="11" t="str">
        <f t="shared" si="55"/>
        <v/>
      </c>
    </row>
    <row r="74" ht="67.5" customHeight="1">
      <c r="A74" s="161" t="s">
        <v>458</v>
      </c>
      <c r="B74" s="162" t="s">
        <v>496</v>
      </c>
      <c r="C74" s="42">
        <f t="shared" si="4"/>
        <v>3</v>
      </c>
      <c r="D74" s="9" t="str">
        <f t="shared" ref="D74:I74" si="56">if($C31&gt;$C$46,D31,"")</f>
        <v>5.NF.A.1</v>
      </c>
      <c r="E74" s="87" t="str">
        <f t="shared" si="56"/>
        <v>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v>
      </c>
      <c r="F74" s="115" t="b">
        <f t="shared" si="56"/>
        <v>1</v>
      </c>
      <c r="G74" s="115" t="b">
        <f t="shared" si="56"/>
        <v>0</v>
      </c>
      <c r="H74" s="115" t="b">
        <f t="shared" si="56"/>
        <v>1</v>
      </c>
      <c r="I74" s="115" t="b">
        <f t="shared" si="56"/>
        <v>1</v>
      </c>
      <c r="J74" s="9"/>
      <c r="K74" s="87" t="str">
        <f t="shared" si="6"/>
        <v>R- used in a variety of problems in 6th, usually as a DoK3
A- 4-6 questions on ACT
L- used in science and real life skills</v>
      </c>
      <c r="L74" s="169" t="b">
        <v>0</v>
      </c>
      <c r="M74" s="9" t="str">
        <f t="shared" ref="M74:U74" si="57">if($L74=TRUE,C74,"")</f>
        <v/>
      </c>
      <c r="N74" s="9" t="str">
        <f t="shared" si="57"/>
        <v/>
      </c>
      <c r="O74" s="9" t="str">
        <f t="shared" si="57"/>
        <v/>
      </c>
      <c r="P74" s="9" t="str">
        <f t="shared" si="57"/>
        <v/>
      </c>
      <c r="Q74" s="9" t="str">
        <f t="shared" si="57"/>
        <v/>
      </c>
      <c r="R74" s="9" t="str">
        <f t="shared" si="57"/>
        <v/>
      </c>
      <c r="S74" s="9" t="str">
        <f t="shared" si="57"/>
        <v/>
      </c>
      <c r="T74" s="9" t="str">
        <f t="shared" si="57"/>
        <v/>
      </c>
      <c r="U74" s="11" t="str">
        <f t="shared" si="57"/>
        <v/>
      </c>
    </row>
    <row r="75" ht="84.75" customHeight="1">
      <c r="A75" s="47"/>
      <c r="B75" s="50"/>
      <c r="C75" s="35">
        <f t="shared" si="4"/>
        <v>3</v>
      </c>
      <c r="D75" s="9" t="str">
        <f t="shared" ref="D75:I75" si="58">if($C32&gt;$C$46,D32,"")</f>
        <v>5.NF.A.2</v>
      </c>
      <c r="E75" s="87" t="str">
        <f t="shared" si="58"/>
        <v>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v>
      </c>
      <c r="F75" s="115" t="b">
        <f t="shared" si="58"/>
        <v>1</v>
      </c>
      <c r="G75" s="115" t="b">
        <f t="shared" si="58"/>
        <v>0</v>
      </c>
      <c r="H75" s="115" t="b">
        <f t="shared" si="58"/>
        <v>1</v>
      </c>
      <c r="I75" s="115" t="b">
        <f t="shared" si="58"/>
        <v>1</v>
      </c>
      <c r="J75" s="9"/>
      <c r="K75" s="87" t="str">
        <f t="shared" si="6"/>
        <v>R-used in a variety of problems in 6th, usually as a DoK3
A- 4-6 questions on ACT
L- used in science and real life skills</v>
      </c>
      <c r="L75" s="169" t="b">
        <v>1</v>
      </c>
      <c r="M75" s="9">
        <f t="shared" ref="M75:U75" si="59">if($L75=TRUE,C75,"")</f>
        <v>3</v>
      </c>
      <c r="N75" s="9" t="str">
        <f t="shared" si="59"/>
        <v>5.NF.A.2</v>
      </c>
      <c r="O75" s="9" t="str">
        <f t="shared" si="59"/>
        <v>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v>
      </c>
      <c r="P75" s="9" t="b">
        <f t="shared" si="59"/>
        <v>1</v>
      </c>
      <c r="Q75" s="9" t="b">
        <f t="shared" si="59"/>
        <v>0</v>
      </c>
      <c r="R75" s="9" t="b">
        <f t="shared" si="59"/>
        <v>1</v>
      </c>
      <c r="S75" s="9" t="b">
        <f t="shared" si="59"/>
        <v>1</v>
      </c>
      <c r="T75" s="9" t="str">
        <f t="shared" si="59"/>
        <v/>
      </c>
      <c r="U75" s="11" t="str">
        <f t="shared" si="59"/>
        <v>R-used in a variety of problems in 6th, usually as a DoK3
A- 4-6 questions on ACT
L- used in science and real life skills</v>
      </c>
    </row>
    <row r="76">
      <c r="A76" s="47"/>
      <c r="B76" s="164" t="s">
        <v>512</v>
      </c>
      <c r="C76" s="42">
        <f t="shared" si="4"/>
        <v>4</v>
      </c>
      <c r="D76" s="9" t="str">
        <f t="shared" ref="D76:I76" si="60">if($C33&gt;$C$46,D33,"")</f>
        <v>5.NF.B.3</v>
      </c>
      <c r="E76" s="87" t="str">
        <f t="shared" si="60"/>
        <v>Interpret a fraction as division of the numerator by the denominator (a/b = a ÷ b). Solve word problems involving division of whole numbers leading to answers in the form of fractions or mixed numbers, e.g., by using visual fraction models or equations to represent the problem. For example, interpret 3/4 as the result of dividing 3 by 4, noting that 3/4 multiplied by 4 equals 3, and that when 3 wholes are shared equally among 4 people each person has a share of size 3/4. If 9 people want to share a 50-pound sack of rice equally by weight, how many pounds of rice should each person get? Between what two whole numbers does your answer lie?</v>
      </c>
      <c r="F76" s="115" t="b">
        <f t="shared" si="60"/>
        <v>1</v>
      </c>
      <c r="G76" s="115" t="b">
        <f t="shared" si="60"/>
        <v>1</v>
      </c>
      <c r="H76" s="115" t="b">
        <f t="shared" si="60"/>
        <v>1</v>
      </c>
      <c r="I76" s="115" t="b">
        <f t="shared" si="60"/>
        <v>1</v>
      </c>
      <c r="J76" s="9"/>
      <c r="K76" s="87" t="str">
        <f t="shared" si="6"/>
        <v>R- needed for foundational skill in 6th grade and beyond
E- critical understanding to perform algebra
A- 4-6 questions on ACT Aspire
L- used in science and real world skills (needed for equal sharing)</v>
      </c>
      <c r="L76" s="116" t="b">
        <v>0</v>
      </c>
      <c r="M76" s="9" t="str">
        <f t="shared" ref="M76:U76" si="61">if($L76=TRUE,C76,"")</f>
        <v/>
      </c>
      <c r="N76" s="9" t="str">
        <f t="shared" si="61"/>
        <v/>
      </c>
      <c r="O76" s="9" t="str">
        <f t="shared" si="61"/>
        <v/>
      </c>
      <c r="P76" s="9" t="str">
        <f t="shared" si="61"/>
        <v/>
      </c>
      <c r="Q76" s="9" t="str">
        <f t="shared" si="61"/>
        <v/>
      </c>
      <c r="R76" s="9" t="str">
        <f t="shared" si="61"/>
        <v/>
      </c>
      <c r="S76" s="9" t="str">
        <f t="shared" si="61"/>
        <v/>
      </c>
      <c r="T76" s="9" t="str">
        <f t="shared" si="61"/>
        <v/>
      </c>
      <c r="U76" s="11" t="str">
        <f t="shared" si="61"/>
        <v/>
      </c>
    </row>
    <row r="77">
      <c r="A77" s="47"/>
      <c r="B77" s="47"/>
      <c r="C77" s="42">
        <f t="shared" si="4"/>
        <v>4</v>
      </c>
      <c r="D77" s="9" t="str">
        <f t="shared" ref="D77:I77" si="62">if($C34&gt;$C$46,D34,"")</f>
        <v>5.NF.B.4</v>
      </c>
      <c r="E77" s="87" t="str">
        <f t="shared" si="62"/>
        <v>Apply and extend previous understandings of multiplication to multiply a fraction or whole number by a fraction.</v>
      </c>
      <c r="F77" s="115" t="b">
        <f t="shared" si="62"/>
        <v>1</v>
      </c>
      <c r="G77" s="115" t="b">
        <f t="shared" si="62"/>
        <v>1</v>
      </c>
      <c r="H77" s="115" t="b">
        <f t="shared" si="62"/>
        <v>1</v>
      </c>
      <c r="I77" s="115" t="b">
        <f t="shared" si="62"/>
        <v>1</v>
      </c>
      <c r="J77" s="9"/>
      <c r="K77" s="87" t="str">
        <f t="shared" si="6"/>
        <v>R- needed for foundational skill in 6th grade and beyond
E- critical understanding to perform algebra
A- 4-6 questions on ACT Aspire
L- used in science and real world skills (needed for equal sharing)</v>
      </c>
      <c r="L77" s="169" t="b">
        <v>0</v>
      </c>
      <c r="M77" s="9" t="str">
        <f t="shared" ref="M77:U77" si="63">if($L77=TRUE,C77,"")</f>
        <v/>
      </c>
      <c r="N77" s="9" t="str">
        <f t="shared" si="63"/>
        <v/>
      </c>
      <c r="O77" s="9" t="str">
        <f t="shared" si="63"/>
        <v/>
      </c>
      <c r="P77" s="9" t="str">
        <f t="shared" si="63"/>
        <v/>
      </c>
      <c r="Q77" s="9" t="str">
        <f t="shared" si="63"/>
        <v/>
      </c>
      <c r="R77" s="9" t="str">
        <f t="shared" si="63"/>
        <v/>
      </c>
      <c r="S77" s="9" t="str">
        <f t="shared" si="63"/>
        <v/>
      </c>
      <c r="T77" s="9" t="str">
        <f t="shared" si="63"/>
        <v/>
      </c>
      <c r="U77" s="11" t="str">
        <f t="shared" si="63"/>
        <v/>
      </c>
    </row>
    <row r="78">
      <c r="A78" s="47"/>
      <c r="B78" s="47"/>
      <c r="C78" s="42">
        <f t="shared" si="4"/>
        <v>4</v>
      </c>
      <c r="D78" s="9" t="str">
        <f t="shared" ref="D78:I78" si="64">if($C35&gt;$C$46,D35,"")</f>
        <v>5.NF.B.4a</v>
      </c>
      <c r="E78" s="87" t="str">
        <f t="shared" si="64"/>
        <v>Interpret the product (a/b) × q as a parts of a partition of q into b equal parts; equivalently, as the result of a sequence of operations a × q ÷ b. For example, use a visual fraction model to show (2/3) × 4 = 8/3, and create a story context for this equation. Do the same with (2/3) × (4/5) = 8/15. (In general, (a/b) × (c/d) = ac/bd.)</v>
      </c>
      <c r="F78" s="115" t="b">
        <f t="shared" si="64"/>
        <v>1</v>
      </c>
      <c r="G78" s="115" t="b">
        <f t="shared" si="64"/>
        <v>1</v>
      </c>
      <c r="H78" s="115" t="b">
        <f t="shared" si="64"/>
        <v>1</v>
      </c>
      <c r="I78" s="115" t="b">
        <f t="shared" si="64"/>
        <v>1</v>
      </c>
      <c r="J78" s="9"/>
      <c r="K78" s="87" t="str">
        <f t="shared" si="6"/>
        <v>R- needed for foundational skill in 6th grade and beyond
E- critical understanding to perform algebra
A- 4-6 questions on ACT Aspire
L- used in science and real world skills (needed for equal sharing)</v>
      </c>
      <c r="L78" s="169" t="b">
        <v>1</v>
      </c>
      <c r="M78" s="9">
        <f t="shared" ref="M78:U78" si="65">if($L78=TRUE,C78,"")</f>
        <v>4</v>
      </c>
      <c r="N78" s="9" t="str">
        <f t="shared" si="65"/>
        <v>5.NF.B.4a</v>
      </c>
      <c r="O78" s="9" t="str">
        <f t="shared" si="65"/>
        <v>Interpret the product (a/b) × q as a parts of a partition of q into b equal parts; equivalently, as the result of a sequence of operations a × q ÷ b. For example, use a visual fraction model to show (2/3) × 4 = 8/3, and create a story context for this equation. Do the same with (2/3) × (4/5) = 8/15. (In general, (a/b) × (c/d) = ac/bd.)</v>
      </c>
      <c r="P78" s="9" t="b">
        <f t="shared" si="65"/>
        <v>1</v>
      </c>
      <c r="Q78" s="9" t="b">
        <f t="shared" si="65"/>
        <v>1</v>
      </c>
      <c r="R78" s="9" t="b">
        <f t="shared" si="65"/>
        <v>1</v>
      </c>
      <c r="S78" s="9" t="b">
        <f t="shared" si="65"/>
        <v>1</v>
      </c>
      <c r="T78" s="9" t="str">
        <f t="shared" si="65"/>
        <v/>
      </c>
      <c r="U78" s="11" t="str">
        <f t="shared" si="65"/>
        <v>R- needed for foundational skill in 6th grade and beyond
E- critical understanding to perform algebra
A- 4-6 questions on ACT Aspire
L- used in science and real world skills (needed for equal sharing)</v>
      </c>
    </row>
    <row r="79">
      <c r="A79" s="47"/>
      <c r="B79" s="47"/>
      <c r="C79" s="42">
        <f t="shared" si="4"/>
        <v>4</v>
      </c>
      <c r="D79" s="9" t="str">
        <f t="shared" ref="D79:I79" si="66">if($C36&gt;$C$46,D36,"")</f>
        <v>5.NF.B.4b</v>
      </c>
      <c r="E79" s="87" t="str">
        <f t="shared" si="66"/>
        <v>Find the area of a rectangle with fractional side lengths by tiling it with unit squares of the appropriate unit fraction side lengths, and show that the area is the same as would be found by multiplying the side lengths. Multiply fractional side lengths to find areas of rectangles, and represent fraction products as rectangular areas.</v>
      </c>
      <c r="F79" s="115" t="b">
        <f t="shared" si="66"/>
        <v>1</v>
      </c>
      <c r="G79" s="115" t="b">
        <f t="shared" si="66"/>
        <v>1</v>
      </c>
      <c r="H79" s="115" t="b">
        <f t="shared" si="66"/>
        <v>1</v>
      </c>
      <c r="I79" s="115" t="b">
        <f t="shared" si="66"/>
        <v>1</v>
      </c>
      <c r="J79" s="9"/>
      <c r="K79" s="87" t="str">
        <f t="shared" si="6"/>
        <v>R- needed for foundational skill in 6th grade and beyond
E- critical understanding to perform algebra
A- 4-6 questions on ACT Aspire
L- used in science and real world skills (needed for equal sharing)</v>
      </c>
      <c r="L79" s="169" t="b">
        <v>1</v>
      </c>
      <c r="M79" s="9">
        <f t="shared" ref="M79:U79" si="67">if($L79=TRUE,C79,"")</f>
        <v>4</v>
      </c>
      <c r="N79" s="9" t="str">
        <f t="shared" si="67"/>
        <v>5.NF.B.4b</v>
      </c>
      <c r="O79" s="9" t="str">
        <f t="shared" si="67"/>
        <v>Find the area of a rectangle with fractional side lengths by tiling it with unit squares of the appropriate unit fraction side lengths, and show that the area is the same as would be found by multiplying the side lengths. Multiply fractional side lengths to find areas of rectangles, and represent fraction products as rectangular areas.</v>
      </c>
      <c r="P79" s="9" t="b">
        <f t="shared" si="67"/>
        <v>1</v>
      </c>
      <c r="Q79" s="9" t="b">
        <f t="shared" si="67"/>
        <v>1</v>
      </c>
      <c r="R79" s="9" t="b">
        <f t="shared" si="67"/>
        <v>1</v>
      </c>
      <c r="S79" s="9" t="b">
        <f t="shared" si="67"/>
        <v>1</v>
      </c>
      <c r="T79" s="9" t="str">
        <f t="shared" si="67"/>
        <v/>
      </c>
      <c r="U79" s="11" t="str">
        <f t="shared" si="67"/>
        <v>R- needed for foundational skill in 6th grade and beyond
E- critical understanding to perform algebra
A- 4-6 questions on ACT Aspire
L- used in science and real world skills (needed for equal sharing)</v>
      </c>
    </row>
    <row r="80">
      <c r="A80" s="47"/>
      <c r="B80" s="47"/>
      <c r="C80" s="42">
        <f t="shared" si="4"/>
        <v>0</v>
      </c>
      <c r="D80" s="9" t="str">
        <f t="shared" ref="D80:I80" si="68">if($C37&gt;$C$46,D37,"")</f>
        <v/>
      </c>
      <c r="E80" s="87" t="str">
        <f t="shared" si="68"/>
        <v/>
      </c>
      <c r="F80" s="115" t="str">
        <f t="shared" si="68"/>
        <v/>
      </c>
      <c r="G80" s="115" t="str">
        <f t="shared" si="68"/>
        <v/>
      </c>
      <c r="H80" s="115" t="str">
        <f t="shared" si="68"/>
        <v/>
      </c>
      <c r="I80" s="115" t="str">
        <f t="shared" si="68"/>
        <v/>
      </c>
      <c r="J80" s="9"/>
      <c r="K80" s="87" t="str">
        <f t="shared" si="6"/>
        <v/>
      </c>
      <c r="L80" s="116" t="b">
        <v>0</v>
      </c>
      <c r="M80" s="9" t="str">
        <f t="shared" ref="M80:U80" si="69">if($L80=TRUE,C80,"")</f>
        <v/>
      </c>
      <c r="N80" s="9" t="str">
        <f t="shared" si="69"/>
        <v/>
      </c>
      <c r="O80" s="9" t="str">
        <f t="shared" si="69"/>
        <v/>
      </c>
      <c r="P80" s="9" t="str">
        <f t="shared" si="69"/>
        <v/>
      </c>
      <c r="Q80" s="9" t="str">
        <f t="shared" si="69"/>
        <v/>
      </c>
      <c r="R80" s="9" t="str">
        <f t="shared" si="69"/>
        <v/>
      </c>
      <c r="S80" s="9" t="str">
        <f t="shared" si="69"/>
        <v/>
      </c>
      <c r="T80" s="9" t="str">
        <f t="shared" si="69"/>
        <v/>
      </c>
      <c r="U80" s="11" t="str">
        <f t="shared" si="69"/>
        <v/>
      </c>
    </row>
    <row r="81">
      <c r="A81" s="47"/>
      <c r="B81" s="47"/>
      <c r="C81" s="42">
        <f t="shared" si="4"/>
        <v>0</v>
      </c>
      <c r="D81" s="9" t="str">
        <f t="shared" ref="D81:I81" si="70">if($C38&gt;$C$46,D38,"")</f>
        <v/>
      </c>
      <c r="E81" s="87" t="str">
        <f t="shared" si="70"/>
        <v/>
      </c>
      <c r="F81" s="115" t="str">
        <f t="shared" si="70"/>
        <v/>
      </c>
      <c r="G81" s="115" t="str">
        <f t="shared" si="70"/>
        <v/>
      </c>
      <c r="H81" s="115" t="str">
        <f t="shared" si="70"/>
        <v/>
      </c>
      <c r="I81" s="115" t="str">
        <f t="shared" si="70"/>
        <v/>
      </c>
      <c r="J81" s="9"/>
      <c r="K81" s="87" t="str">
        <f t="shared" si="6"/>
        <v/>
      </c>
      <c r="L81" s="169" t="b">
        <v>0</v>
      </c>
      <c r="M81" s="9" t="str">
        <f t="shared" ref="M81:U81" si="71">if($L81=TRUE,C81,"")</f>
        <v/>
      </c>
      <c r="N81" s="9" t="str">
        <f t="shared" si="71"/>
        <v/>
      </c>
      <c r="O81" s="9" t="str">
        <f t="shared" si="71"/>
        <v/>
      </c>
      <c r="P81" s="9" t="str">
        <f t="shared" si="71"/>
        <v/>
      </c>
      <c r="Q81" s="9" t="str">
        <f t="shared" si="71"/>
        <v/>
      </c>
      <c r="R81" s="9" t="str">
        <f t="shared" si="71"/>
        <v/>
      </c>
      <c r="S81" s="9" t="str">
        <f t="shared" si="71"/>
        <v/>
      </c>
      <c r="T81" s="9" t="str">
        <f t="shared" si="71"/>
        <v/>
      </c>
      <c r="U81" s="11" t="str">
        <f t="shared" si="71"/>
        <v/>
      </c>
    </row>
    <row r="82">
      <c r="A82" s="47"/>
      <c r="B82" s="47"/>
      <c r="C82" s="42">
        <f t="shared" si="4"/>
        <v>0</v>
      </c>
      <c r="D82" s="9" t="str">
        <f t="shared" ref="D82:I82" si="72">if($C39&gt;$C$46,D39,"")</f>
        <v/>
      </c>
      <c r="E82" s="87" t="str">
        <f t="shared" si="72"/>
        <v/>
      </c>
      <c r="F82" s="115" t="str">
        <f t="shared" si="72"/>
        <v/>
      </c>
      <c r="G82" s="115" t="str">
        <f t="shared" si="72"/>
        <v/>
      </c>
      <c r="H82" s="115" t="str">
        <f t="shared" si="72"/>
        <v/>
      </c>
      <c r="I82" s="115" t="str">
        <f t="shared" si="72"/>
        <v/>
      </c>
      <c r="J82" s="9"/>
      <c r="K82" s="87" t="str">
        <f t="shared" si="6"/>
        <v/>
      </c>
      <c r="L82" s="171" t="b">
        <v>0</v>
      </c>
      <c r="M82" s="9" t="str">
        <f t="shared" ref="M82:U82" si="73">if($L82=TRUE,C82,"")</f>
        <v/>
      </c>
      <c r="N82" s="9" t="str">
        <f t="shared" si="73"/>
        <v/>
      </c>
      <c r="O82" s="9" t="str">
        <f t="shared" si="73"/>
        <v/>
      </c>
      <c r="P82" s="9" t="str">
        <f t="shared" si="73"/>
        <v/>
      </c>
      <c r="Q82" s="9" t="str">
        <f t="shared" si="73"/>
        <v/>
      </c>
      <c r="R82" s="9" t="str">
        <f t="shared" si="73"/>
        <v/>
      </c>
      <c r="S82" s="9" t="str">
        <f t="shared" si="73"/>
        <v/>
      </c>
      <c r="T82" s="9" t="str">
        <f t="shared" si="73"/>
        <v/>
      </c>
      <c r="U82" s="11" t="str">
        <f t="shared" si="73"/>
        <v/>
      </c>
    </row>
    <row r="83">
      <c r="A83" s="47"/>
      <c r="B83" s="47"/>
      <c r="C83" s="42">
        <f t="shared" si="4"/>
        <v>3</v>
      </c>
      <c r="D83" s="9" t="str">
        <f t="shared" ref="D83:I83" si="74">if($C40&gt;$C$46,D40,"")</f>
        <v>5.NF.B.7</v>
      </c>
      <c r="E83" s="87" t="str">
        <f t="shared" si="74"/>
        <v>Apply and extend previous understandings of division to divide unit fractions by whole numbers and whole numbers by unit fractions.</v>
      </c>
      <c r="F83" s="115" t="b">
        <f t="shared" si="74"/>
        <v>1</v>
      </c>
      <c r="G83" s="115" t="b">
        <f t="shared" si="74"/>
        <v>1</v>
      </c>
      <c r="H83" s="115" t="b">
        <f t="shared" si="74"/>
        <v>1</v>
      </c>
      <c r="I83" s="115" t="b">
        <f t="shared" si="74"/>
        <v>0</v>
      </c>
      <c r="J83" s="9"/>
      <c r="K83" s="87" t="str">
        <f t="shared" si="6"/>
        <v>R- needed for foundational skill in 6th grade and beyond
E- critical understanding to perform algebra
A- 4-6 questions on ACT Aspire</v>
      </c>
      <c r="L83" s="116" t="b">
        <v>0</v>
      </c>
      <c r="M83" s="9" t="str">
        <f t="shared" ref="M83:U83" si="75">if($L83=TRUE,C83,"")</f>
        <v/>
      </c>
      <c r="N83" s="9" t="str">
        <f t="shared" si="75"/>
        <v/>
      </c>
      <c r="O83" s="9" t="str">
        <f t="shared" si="75"/>
        <v/>
      </c>
      <c r="P83" s="9" t="str">
        <f t="shared" si="75"/>
        <v/>
      </c>
      <c r="Q83" s="9" t="str">
        <f t="shared" si="75"/>
        <v/>
      </c>
      <c r="R83" s="9" t="str">
        <f t="shared" si="75"/>
        <v/>
      </c>
      <c r="S83" s="9" t="str">
        <f t="shared" si="75"/>
        <v/>
      </c>
      <c r="T83" s="9" t="str">
        <f t="shared" si="75"/>
        <v/>
      </c>
      <c r="U83" s="11" t="str">
        <f t="shared" si="75"/>
        <v/>
      </c>
    </row>
    <row r="84">
      <c r="A84" s="47"/>
      <c r="B84" s="47"/>
      <c r="C84" s="42">
        <f t="shared" si="4"/>
        <v>0</v>
      </c>
      <c r="D84" s="9" t="str">
        <f t="shared" ref="D84:I84" si="76">if($C41&gt;$C$46,D41,"")</f>
        <v/>
      </c>
      <c r="E84" s="87" t="str">
        <f t="shared" si="76"/>
        <v/>
      </c>
      <c r="F84" s="115" t="str">
        <f t="shared" si="76"/>
        <v/>
      </c>
      <c r="G84" s="115" t="str">
        <f t="shared" si="76"/>
        <v/>
      </c>
      <c r="H84" s="115" t="str">
        <f t="shared" si="76"/>
        <v/>
      </c>
      <c r="I84" s="115" t="str">
        <f t="shared" si="76"/>
        <v/>
      </c>
      <c r="J84" s="9"/>
      <c r="K84" s="87" t="str">
        <f t="shared" si="6"/>
        <v/>
      </c>
      <c r="L84" s="169" t="b">
        <v>0</v>
      </c>
      <c r="M84" s="9" t="str">
        <f t="shared" ref="M84:U84" si="77">if($L84=TRUE,C84,"")</f>
        <v/>
      </c>
      <c r="N84" s="9" t="str">
        <f t="shared" si="77"/>
        <v/>
      </c>
      <c r="O84" s="9" t="str">
        <f t="shared" si="77"/>
        <v/>
      </c>
      <c r="P84" s="9" t="str">
        <f t="shared" si="77"/>
        <v/>
      </c>
      <c r="Q84" s="9" t="str">
        <f t="shared" si="77"/>
        <v/>
      </c>
      <c r="R84" s="9" t="str">
        <f t="shared" si="77"/>
        <v/>
      </c>
      <c r="S84" s="9" t="str">
        <f t="shared" si="77"/>
        <v/>
      </c>
      <c r="T84" s="9" t="str">
        <f t="shared" si="77"/>
        <v/>
      </c>
      <c r="U84" s="11" t="str">
        <f t="shared" si="77"/>
        <v/>
      </c>
    </row>
    <row r="85">
      <c r="A85" s="47"/>
      <c r="B85" s="47"/>
      <c r="C85" s="42">
        <f t="shared" si="4"/>
        <v>0</v>
      </c>
      <c r="D85" s="9" t="str">
        <f t="shared" ref="D85:I85" si="78">if($C42&gt;$C$46,D42,"")</f>
        <v/>
      </c>
      <c r="E85" s="87" t="str">
        <f t="shared" si="78"/>
        <v/>
      </c>
      <c r="F85" s="115" t="str">
        <f t="shared" si="78"/>
        <v/>
      </c>
      <c r="G85" s="115" t="str">
        <f t="shared" si="78"/>
        <v/>
      </c>
      <c r="H85" s="115" t="str">
        <f t="shared" si="78"/>
        <v/>
      </c>
      <c r="I85" s="115" t="str">
        <f t="shared" si="78"/>
        <v/>
      </c>
      <c r="J85" s="9"/>
      <c r="K85" s="87" t="str">
        <f t="shared" si="6"/>
        <v/>
      </c>
      <c r="L85" s="171" t="b">
        <v>0</v>
      </c>
      <c r="M85" s="9" t="str">
        <f t="shared" ref="M85:U85" si="79">if($L85=TRUE,C85,"")</f>
        <v/>
      </c>
      <c r="N85" s="9" t="str">
        <f t="shared" si="79"/>
        <v/>
      </c>
      <c r="O85" s="9" t="str">
        <f t="shared" si="79"/>
        <v/>
      </c>
      <c r="P85" s="9" t="str">
        <f t="shared" si="79"/>
        <v/>
      </c>
      <c r="Q85" s="9" t="str">
        <f t="shared" si="79"/>
        <v/>
      </c>
      <c r="R85" s="9" t="str">
        <f t="shared" si="79"/>
        <v/>
      </c>
      <c r="S85" s="9" t="str">
        <f t="shared" si="79"/>
        <v/>
      </c>
      <c r="T85" s="9" t="str">
        <f t="shared" si="79"/>
        <v/>
      </c>
      <c r="U85" s="11" t="str">
        <f t="shared" si="79"/>
        <v/>
      </c>
    </row>
    <row r="86">
      <c r="A86" s="50"/>
      <c r="B86" s="50"/>
      <c r="C86" s="42">
        <f t="shared" si="4"/>
        <v>3</v>
      </c>
      <c r="D86" s="9" t="str">
        <f t="shared" ref="D86:I86" si="80">if($C43&gt;$C$46,D43,"")</f>
        <v>5.NF.B.7c</v>
      </c>
      <c r="E86" s="87" t="str">
        <f t="shared" si="80"/>
        <v>Solve real world problems involving division of unit fractions by non-zero whole numbers and division of whole numbers by unit fractions, e.g., by using visual fraction models and equations to represent the problem. For example, how much chocolate will each person get if 3 people share 1/2 lb of chocolate equally? How many 1/3-cup servings are in 2 cups of raisins?</v>
      </c>
      <c r="F86" s="115" t="b">
        <f t="shared" si="80"/>
        <v>1</v>
      </c>
      <c r="G86" s="115" t="b">
        <f t="shared" si="80"/>
        <v>0</v>
      </c>
      <c r="H86" s="115" t="b">
        <f t="shared" si="80"/>
        <v>1</v>
      </c>
      <c r="I86" s="115" t="b">
        <f t="shared" si="80"/>
        <v>1</v>
      </c>
      <c r="J86" s="9"/>
      <c r="K86" s="87" t="str">
        <f t="shared" si="6"/>
        <v>R- useful for foundational skill in 6th grade and beyond
A- 4-6 questions on ACT Aspire
L- used in science and real world skills (needed for equal sharing)</v>
      </c>
      <c r="L86" s="169" t="b">
        <v>1</v>
      </c>
      <c r="M86" s="9">
        <f t="shared" ref="M86:U86" si="81">if($L86=TRUE,C86,"")</f>
        <v>3</v>
      </c>
      <c r="N86" s="9" t="str">
        <f t="shared" si="81"/>
        <v>5.NF.B.7c</v>
      </c>
      <c r="O86" s="9" t="str">
        <f t="shared" si="81"/>
        <v>Solve real world problems involving division of unit fractions by non-zero whole numbers and division of whole numbers by unit fractions, e.g., by using visual fraction models and equations to represent the problem. For example, how much chocolate will each person get if 3 people share 1/2 lb of chocolate equally? How many 1/3-cup servings are in 2 cups of raisins?</v>
      </c>
      <c r="P86" s="9" t="b">
        <f t="shared" si="81"/>
        <v>1</v>
      </c>
      <c r="Q86" s="9" t="b">
        <f t="shared" si="81"/>
        <v>0</v>
      </c>
      <c r="R86" s="9" t="b">
        <f t="shared" si="81"/>
        <v>1</v>
      </c>
      <c r="S86" s="9" t="b">
        <f t="shared" si="81"/>
        <v>1</v>
      </c>
      <c r="T86" s="9" t="str">
        <f t="shared" si="81"/>
        <v/>
      </c>
      <c r="U86" s="11" t="str">
        <f t="shared" si="81"/>
        <v>R- useful for foundational skill in 6th grade and beyond
A- 4-6 questions on ACT Aspire
L- used in science and real world skills (needed for equal sharing)</v>
      </c>
    </row>
  </sheetData>
  <mergeCells count="34">
    <mergeCell ref="A2:B2"/>
    <mergeCell ref="C2:K2"/>
    <mergeCell ref="A3:K3"/>
    <mergeCell ref="A4:B4"/>
    <mergeCell ref="A5:A13"/>
    <mergeCell ref="B5:B10"/>
    <mergeCell ref="A14:A16"/>
    <mergeCell ref="B23:B30"/>
    <mergeCell ref="B31:B32"/>
    <mergeCell ref="B33:B43"/>
    <mergeCell ref="A45:B45"/>
    <mergeCell ref="F45:G45"/>
    <mergeCell ref="B11:B13"/>
    <mergeCell ref="B14:B15"/>
    <mergeCell ref="A17:A20"/>
    <mergeCell ref="B17:B18"/>
    <mergeCell ref="B19:B20"/>
    <mergeCell ref="A21:A30"/>
    <mergeCell ref="A31:A43"/>
    <mergeCell ref="B57:B58"/>
    <mergeCell ref="B60:B61"/>
    <mergeCell ref="B66:B73"/>
    <mergeCell ref="B74:B75"/>
    <mergeCell ref="B76:B86"/>
    <mergeCell ref="A60:A63"/>
    <mergeCell ref="A64:A73"/>
    <mergeCell ref="A74:A86"/>
    <mergeCell ref="A46:B46"/>
    <mergeCell ref="A47:B47"/>
    <mergeCell ref="A48:A56"/>
    <mergeCell ref="B48:B53"/>
    <mergeCell ref="B54:B56"/>
    <mergeCell ref="A57:A59"/>
    <mergeCell ref="B62:B63"/>
  </mergeCells>
  <conditionalFormatting sqref="D45">
    <cfRule type="expression" dxfId="0" priority="1">
      <formula>D45&lt;=K45</formula>
    </cfRule>
  </conditionalFormatting>
  <conditionalFormatting sqref="D45">
    <cfRule type="expression" dxfId="1" priority="2">
      <formula>D45&gt;K45</formula>
    </cfRule>
  </conditionalFormatting>
  <conditionalFormatting sqref="L48 L52 L55:L56 L59:L60 L62 L64 L66 L68:L69 L72:L73 L76 L80 L83:L84">
    <cfRule type="expression" dxfId="7" priority="3">
      <formula>not</formula>
    </cfRule>
  </conditionalFormatting>
  <conditionalFormatting sqref="F48:I86">
    <cfRule type="cellIs" dxfId="8" priority="4" operator="equal">
      <formula>"TRUE"</formula>
    </cfRule>
  </conditionalFormatting>
  <conditionalFormatting sqref="F48:I86">
    <cfRule type="cellIs" dxfId="9" priority="5" operator="equal">
      <formula>"FALSE"</formula>
    </cfRule>
  </conditionalFormatting>
  <conditionalFormatting sqref="C5:C43 C48:C86">
    <cfRule type="cellIs" dxfId="2" priority="6" operator="equal">
      <formula>0</formula>
    </cfRule>
  </conditionalFormatting>
  <conditionalFormatting sqref="C5:C43 C48:C86">
    <cfRule type="cellIs" dxfId="3" priority="7" operator="equal">
      <formula>1</formula>
    </cfRule>
  </conditionalFormatting>
  <conditionalFormatting sqref="C5:C43 C48:C86">
    <cfRule type="cellIs" dxfId="4" priority="8" operator="equal">
      <formula>2</formula>
    </cfRule>
  </conditionalFormatting>
  <conditionalFormatting sqref="C5:C43 C48:C86">
    <cfRule type="cellIs" dxfId="5" priority="9" operator="equal">
      <formula>3</formula>
    </cfRule>
  </conditionalFormatting>
  <conditionalFormatting sqref="C5:C43 C48:C86">
    <cfRule type="cellIs" dxfId="6" priority="10" operator="equal">
      <formula>4</formula>
    </cfRule>
  </conditionalFormatting>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27BA0"/>
    <outlinePr summaryBelow="0" summaryRight="0"/>
  </sheetPr>
  <sheetViews>
    <sheetView workbookViewId="0">
      <pane ySplit="4.0" topLeftCell="A5" activePane="bottomLeft" state="frozen"/>
      <selection activeCell="B6" sqref="B6" pane="bottomLeft"/>
    </sheetView>
  </sheetViews>
  <sheetFormatPr customHeight="1" defaultColWidth="14.43" defaultRowHeight="15.75" outlineLevelCol="1" outlineLevelRow="1"/>
  <cols>
    <col customWidth="1" min="1" max="1" width="5.14"/>
    <col customWidth="1" min="2" max="2" width="15.86"/>
    <col customWidth="1" min="3" max="3" width="5.14"/>
    <col customWidth="1" min="4" max="4" width="10.86"/>
    <col customWidth="1" min="5" max="5" width="57.29"/>
    <col customWidth="1" min="6" max="9" width="3.0"/>
    <col customWidth="1" min="10" max="10" width="0.86"/>
    <col customWidth="1" min="11" max="11" width="43.0"/>
    <col collapsed="1" customWidth="1" min="12" max="12" width="8.43"/>
    <col hidden="1" min="13" max="21" width="14.43" outlineLevel="1"/>
  </cols>
  <sheetData>
    <row r="1" ht="4.5" customHeight="1">
      <c r="A1" s="3"/>
      <c r="B1" s="7"/>
      <c r="C1" s="7"/>
      <c r="D1" s="7"/>
      <c r="E1" s="126"/>
      <c r="F1" s="7"/>
      <c r="G1" s="7"/>
      <c r="H1" s="7"/>
      <c r="I1" s="7"/>
      <c r="J1" s="7"/>
      <c r="K1" s="7"/>
      <c r="L1" s="9"/>
      <c r="M1" s="9"/>
      <c r="N1" s="9"/>
      <c r="O1" s="9"/>
      <c r="P1" s="9"/>
      <c r="Q1" s="9"/>
      <c r="R1" s="9"/>
      <c r="S1" s="9"/>
      <c r="T1" s="9"/>
      <c r="U1" s="9"/>
    </row>
    <row r="2" outlineLevel="1">
      <c r="A2" s="12" t="s">
        <v>4</v>
      </c>
      <c r="B2" s="13"/>
      <c r="C2" s="14" t="s">
        <v>5</v>
      </c>
      <c r="D2" s="13"/>
      <c r="E2" s="13"/>
      <c r="F2" s="13"/>
      <c r="G2" s="13"/>
      <c r="H2" s="13"/>
      <c r="I2" s="13"/>
      <c r="J2" s="13"/>
      <c r="K2" s="13"/>
      <c r="L2" s="9"/>
      <c r="M2" s="9"/>
      <c r="N2" s="9"/>
      <c r="O2" s="9"/>
      <c r="P2" s="9"/>
      <c r="Q2" s="9"/>
      <c r="R2" s="9"/>
      <c r="S2" s="9"/>
      <c r="T2" s="9"/>
      <c r="U2" s="9"/>
    </row>
    <row r="3">
      <c r="A3" s="124" t="s">
        <v>578</v>
      </c>
      <c r="B3" s="13"/>
      <c r="C3" s="13"/>
      <c r="D3" s="13"/>
      <c r="E3" s="13"/>
      <c r="F3" s="13"/>
      <c r="G3" s="13"/>
      <c r="H3" s="13"/>
      <c r="I3" s="13"/>
      <c r="J3" s="13"/>
      <c r="K3" s="16"/>
      <c r="L3" s="133"/>
      <c r="M3" s="133"/>
      <c r="N3" s="133"/>
      <c r="O3" s="133"/>
      <c r="P3" s="133"/>
      <c r="Q3" s="133"/>
      <c r="R3" s="133"/>
      <c r="S3" s="133"/>
      <c r="T3" s="133"/>
      <c r="U3" s="133"/>
    </row>
    <row r="4" outlineLevel="1">
      <c r="A4" s="127" t="s">
        <v>7</v>
      </c>
      <c r="B4" s="16"/>
      <c r="C4" s="129" t="s">
        <v>8</v>
      </c>
      <c r="D4" s="129" t="s">
        <v>9</v>
      </c>
      <c r="E4" s="31" t="s">
        <v>10</v>
      </c>
      <c r="F4" s="130" t="s">
        <v>12</v>
      </c>
      <c r="G4" s="130" t="s">
        <v>13</v>
      </c>
      <c r="H4" s="132" t="str">
        <f>HYPERLINK("https://www.gctsd.k12.ar.us/images/testing/aspire_summative_assessment_overview.pdf","A")</f>
        <v>A</v>
      </c>
      <c r="I4" s="130" t="s">
        <v>17</v>
      </c>
      <c r="J4" s="130"/>
      <c r="K4" s="130" t="s">
        <v>18</v>
      </c>
      <c r="L4" s="133"/>
      <c r="M4" s="133"/>
      <c r="N4" s="133"/>
      <c r="O4" s="133"/>
      <c r="P4" s="133"/>
      <c r="Q4" s="133"/>
      <c r="R4" s="133"/>
      <c r="S4" s="133"/>
      <c r="T4" s="133"/>
      <c r="U4" s="133"/>
    </row>
    <row r="5" outlineLevel="1">
      <c r="A5" s="79" t="s">
        <v>579</v>
      </c>
      <c r="B5" s="34" t="s">
        <v>580</v>
      </c>
      <c r="C5" s="35">
        <f t="shared" ref="C5:C51" si="1">countif(F5:I5,TRUE)</f>
        <v>3</v>
      </c>
      <c r="D5" s="174" t="s">
        <v>581</v>
      </c>
      <c r="E5" s="175" t="s">
        <v>582</v>
      </c>
      <c r="F5" s="153" t="b">
        <v>1</v>
      </c>
      <c r="G5" s="153" t="b">
        <v>1</v>
      </c>
      <c r="H5" s="153" t="b">
        <v>1</v>
      </c>
      <c r="I5" s="153" t="b">
        <v>0</v>
      </c>
      <c r="J5" s="176" t="s">
        <v>583</v>
      </c>
      <c r="K5" s="141" t="s">
        <v>584</v>
      </c>
      <c r="L5" s="133"/>
      <c r="M5" s="133"/>
      <c r="N5" s="133"/>
      <c r="O5" s="133"/>
      <c r="P5" s="133"/>
      <c r="Q5" s="133"/>
      <c r="R5" s="133"/>
      <c r="S5" s="133"/>
      <c r="T5" s="133"/>
      <c r="U5" s="133"/>
    </row>
    <row r="6" ht="42.0" customHeight="1" outlineLevel="1">
      <c r="A6" s="47"/>
      <c r="B6" s="41" t="s">
        <v>585</v>
      </c>
      <c r="C6" s="42">
        <f t="shared" si="1"/>
        <v>1</v>
      </c>
      <c r="D6" s="177" t="s">
        <v>586</v>
      </c>
      <c r="E6" s="178" t="s">
        <v>587</v>
      </c>
      <c r="F6" s="142" t="b">
        <v>0</v>
      </c>
      <c r="G6" s="149" t="b">
        <v>0</v>
      </c>
      <c r="H6" s="142" t="b">
        <v>1</v>
      </c>
      <c r="I6" s="149" t="b">
        <v>0</v>
      </c>
      <c r="J6" s="179"/>
      <c r="K6" s="141" t="s">
        <v>588</v>
      </c>
      <c r="L6" s="133"/>
      <c r="M6" s="133"/>
      <c r="N6" s="133"/>
      <c r="O6" s="133"/>
      <c r="P6" s="133"/>
      <c r="Q6" s="133"/>
      <c r="R6" s="133"/>
      <c r="S6" s="133"/>
      <c r="T6" s="133"/>
      <c r="U6" s="133"/>
    </row>
    <row r="7" ht="51.75" customHeight="1" outlineLevel="1">
      <c r="A7" s="47"/>
      <c r="B7" s="47"/>
      <c r="C7" s="42">
        <f t="shared" si="1"/>
        <v>4</v>
      </c>
      <c r="D7" s="177" t="s">
        <v>589</v>
      </c>
      <c r="E7" s="178" t="s">
        <v>590</v>
      </c>
      <c r="F7" s="142" t="b">
        <v>1</v>
      </c>
      <c r="G7" s="142" t="b">
        <v>1</v>
      </c>
      <c r="H7" s="142" t="b">
        <v>1</v>
      </c>
      <c r="I7" s="142" t="b">
        <v>1</v>
      </c>
      <c r="J7" s="179"/>
      <c r="K7" s="141" t="s">
        <v>591</v>
      </c>
      <c r="L7" s="133"/>
      <c r="M7" s="133"/>
      <c r="N7" s="133"/>
      <c r="O7" s="133"/>
      <c r="P7" s="133"/>
      <c r="Q7" s="133"/>
      <c r="R7" s="133"/>
      <c r="S7" s="133"/>
      <c r="T7" s="133"/>
      <c r="U7" s="133"/>
    </row>
    <row r="8" ht="75.0" customHeight="1" outlineLevel="1">
      <c r="A8" s="47"/>
      <c r="B8" s="50"/>
      <c r="C8" s="35">
        <f t="shared" si="1"/>
        <v>3</v>
      </c>
      <c r="D8" s="174" t="s">
        <v>592</v>
      </c>
      <c r="E8" s="175" t="s">
        <v>593</v>
      </c>
      <c r="F8" s="153" t="b">
        <v>1</v>
      </c>
      <c r="G8" s="153" t="b">
        <v>1</v>
      </c>
      <c r="H8" s="153" t="b">
        <v>1</v>
      </c>
      <c r="I8" s="153" t="b">
        <v>0</v>
      </c>
      <c r="J8" s="180"/>
      <c r="K8" s="141" t="s">
        <v>594</v>
      </c>
      <c r="L8" s="133"/>
      <c r="M8" s="133"/>
      <c r="N8" s="133"/>
      <c r="O8" s="133"/>
      <c r="P8" s="133"/>
      <c r="Q8" s="133"/>
      <c r="R8" s="133"/>
      <c r="S8" s="133"/>
      <c r="T8" s="133"/>
      <c r="U8" s="133"/>
    </row>
    <row r="9" outlineLevel="1">
      <c r="A9" s="47"/>
      <c r="B9" s="51" t="s">
        <v>595</v>
      </c>
      <c r="C9" s="42">
        <f t="shared" si="1"/>
        <v>3</v>
      </c>
      <c r="D9" s="177" t="s">
        <v>596</v>
      </c>
      <c r="E9" s="178" t="s">
        <v>597</v>
      </c>
      <c r="F9" s="142" t="b">
        <v>1</v>
      </c>
      <c r="G9" s="142" t="b">
        <v>1</v>
      </c>
      <c r="H9" s="142" t="b">
        <v>1</v>
      </c>
      <c r="I9" s="142" t="b">
        <v>0</v>
      </c>
      <c r="J9" s="179"/>
      <c r="K9" s="141" t="s">
        <v>598</v>
      </c>
      <c r="L9" s="133"/>
      <c r="M9" s="133"/>
      <c r="N9" s="133"/>
      <c r="O9" s="133"/>
      <c r="P9" s="133"/>
      <c r="Q9" s="133"/>
      <c r="R9" s="133"/>
      <c r="S9" s="133"/>
      <c r="T9" s="133"/>
      <c r="U9" s="133"/>
    </row>
    <row r="10" outlineLevel="1">
      <c r="A10" s="47"/>
      <c r="B10" s="47"/>
      <c r="C10" s="42">
        <f t="shared" si="1"/>
        <v>3</v>
      </c>
      <c r="D10" s="177" t="s">
        <v>599</v>
      </c>
      <c r="E10" s="178" t="s">
        <v>600</v>
      </c>
      <c r="F10" s="142" t="b">
        <v>1</v>
      </c>
      <c r="G10" s="142" t="b">
        <v>1</v>
      </c>
      <c r="H10" s="142" t="b">
        <v>1</v>
      </c>
      <c r="I10" s="149" t="b">
        <v>0</v>
      </c>
      <c r="J10" s="179"/>
      <c r="K10" s="141" t="s">
        <v>598</v>
      </c>
      <c r="L10" s="133"/>
      <c r="M10" s="133"/>
      <c r="N10" s="133"/>
      <c r="O10" s="133"/>
      <c r="P10" s="133"/>
      <c r="Q10" s="133"/>
      <c r="R10" s="133"/>
      <c r="S10" s="133"/>
      <c r="T10" s="133"/>
      <c r="U10" s="133"/>
    </row>
    <row r="11" outlineLevel="1">
      <c r="A11" s="47"/>
      <c r="B11" s="47"/>
      <c r="C11" s="42">
        <f t="shared" si="1"/>
        <v>3</v>
      </c>
      <c r="D11" s="177" t="s">
        <v>601</v>
      </c>
      <c r="E11" s="178" t="s">
        <v>602</v>
      </c>
      <c r="F11" s="142" t="b">
        <v>1</v>
      </c>
      <c r="G11" s="142" t="b">
        <v>1</v>
      </c>
      <c r="H11" s="142" t="b">
        <v>1</v>
      </c>
      <c r="I11" s="149" t="b">
        <v>0</v>
      </c>
      <c r="J11" s="179"/>
      <c r="K11" s="141" t="s">
        <v>598</v>
      </c>
      <c r="L11" s="133"/>
      <c r="M11" s="133"/>
      <c r="N11" s="133"/>
      <c r="O11" s="133"/>
      <c r="P11" s="133"/>
      <c r="Q11" s="133"/>
      <c r="R11" s="133"/>
      <c r="S11" s="133"/>
      <c r="T11" s="133"/>
      <c r="U11" s="133"/>
    </row>
    <row r="12" outlineLevel="1">
      <c r="A12" s="47"/>
      <c r="B12" s="47"/>
      <c r="C12" s="42">
        <f t="shared" si="1"/>
        <v>3</v>
      </c>
      <c r="D12" s="177" t="s">
        <v>603</v>
      </c>
      <c r="E12" s="178" t="s">
        <v>604</v>
      </c>
      <c r="F12" s="142" t="b">
        <v>1</v>
      </c>
      <c r="G12" s="142" t="b">
        <v>1</v>
      </c>
      <c r="H12" s="142" t="b">
        <v>1</v>
      </c>
      <c r="I12" s="149" t="b">
        <v>0</v>
      </c>
      <c r="J12" s="179"/>
      <c r="K12" s="141" t="s">
        <v>605</v>
      </c>
      <c r="L12" s="133"/>
      <c r="M12" s="133"/>
      <c r="N12" s="133"/>
      <c r="O12" s="133"/>
      <c r="P12" s="133"/>
      <c r="Q12" s="133"/>
      <c r="R12" s="133"/>
      <c r="S12" s="133"/>
      <c r="T12" s="133"/>
      <c r="U12" s="133"/>
    </row>
    <row r="13" outlineLevel="1">
      <c r="A13" s="47"/>
      <c r="B13" s="47"/>
      <c r="C13" s="42">
        <f t="shared" si="1"/>
        <v>3</v>
      </c>
      <c r="D13" s="177" t="s">
        <v>606</v>
      </c>
      <c r="E13" s="178" t="s">
        <v>607</v>
      </c>
      <c r="F13" s="142" t="b">
        <v>1</v>
      </c>
      <c r="G13" s="142" t="b">
        <v>1</v>
      </c>
      <c r="H13" s="142" t="b">
        <v>1</v>
      </c>
      <c r="I13" s="149" t="b">
        <v>0</v>
      </c>
      <c r="J13" s="179"/>
      <c r="K13" s="141" t="s">
        <v>598</v>
      </c>
      <c r="L13" s="133"/>
      <c r="M13" s="133"/>
      <c r="N13" s="133"/>
      <c r="O13" s="133"/>
      <c r="P13" s="133"/>
      <c r="Q13" s="133"/>
      <c r="R13" s="133"/>
      <c r="S13" s="133"/>
      <c r="T13" s="133"/>
      <c r="U13" s="133"/>
    </row>
    <row r="14" outlineLevel="1">
      <c r="A14" s="47"/>
      <c r="B14" s="47"/>
      <c r="C14" s="42">
        <f t="shared" si="1"/>
        <v>3</v>
      </c>
      <c r="D14" s="177" t="s">
        <v>608</v>
      </c>
      <c r="E14" s="178" t="s">
        <v>609</v>
      </c>
      <c r="F14" s="142" t="b">
        <v>1</v>
      </c>
      <c r="G14" s="142" t="b">
        <v>1</v>
      </c>
      <c r="H14" s="142" t="b">
        <v>1</v>
      </c>
      <c r="I14" s="149" t="b">
        <v>0</v>
      </c>
      <c r="J14" s="179"/>
      <c r="K14" s="141" t="s">
        <v>610</v>
      </c>
      <c r="L14" s="133"/>
      <c r="M14" s="133"/>
      <c r="N14" s="133"/>
      <c r="O14" s="133"/>
      <c r="P14" s="133"/>
      <c r="Q14" s="133"/>
      <c r="R14" s="133"/>
      <c r="S14" s="133"/>
      <c r="T14" s="133"/>
      <c r="U14" s="133"/>
    </row>
    <row r="15" outlineLevel="1">
      <c r="A15" s="47"/>
      <c r="B15" s="47"/>
      <c r="C15" s="42">
        <f t="shared" si="1"/>
        <v>3</v>
      </c>
      <c r="D15" s="177" t="s">
        <v>611</v>
      </c>
      <c r="E15" s="178" t="s">
        <v>612</v>
      </c>
      <c r="F15" s="142" t="b">
        <v>1</v>
      </c>
      <c r="G15" s="142" t="b">
        <v>1</v>
      </c>
      <c r="H15" s="142" t="b">
        <v>1</v>
      </c>
      <c r="I15" s="149" t="b">
        <v>0</v>
      </c>
      <c r="J15" s="179"/>
      <c r="K15" s="141" t="s">
        <v>610</v>
      </c>
      <c r="L15" s="133"/>
      <c r="M15" s="133"/>
      <c r="N15" s="133"/>
      <c r="O15" s="133"/>
      <c r="P15" s="133"/>
      <c r="Q15" s="133"/>
      <c r="R15" s="133"/>
      <c r="S15" s="133"/>
      <c r="T15" s="133"/>
      <c r="U15" s="133"/>
    </row>
    <row r="16" outlineLevel="1">
      <c r="A16" s="47"/>
      <c r="B16" s="47"/>
      <c r="C16" s="42">
        <f t="shared" si="1"/>
        <v>3</v>
      </c>
      <c r="D16" s="177" t="s">
        <v>613</v>
      </c>
      <c r="E16" s="178" t="s">
        <v>614</v>
      </c>
      <c r="F16" s="142" t="b">
        <v>1</v>
      </c>
      <c r="G16" s="142" t="b">
        <v>1</v>
      </c>
      <c r="H16" s="142" t="b">
        <v>1</v>
      </c>
      <c r="I16" s="149" t="b">
        <v>0</v>
      </c>
      <c r="J16" s="179"/>
      <c r="K16" s="141" t="s">
        <v>610</v>
      </c>
      <c r="L16" s="133"/>
      <c r="M16" s="133"/>
      <c r="N16" s="133"/>
      <c r="O16" s="133"/>
      <c r="P16" s="133"/>
      <c r="Q16" s="133"/>
      <c r="R16" s="133"/>
      <c r="S16" s="133"/>
      <c r="T16" s="133"/>
      <c r="U16" s="133"/>
    </row>
    <row r="17" outlineLevel="1">
      <c r="A17" s="47"/>
      <c r="B17" s="47"/>
      <c r="C17" s="42">
        <f t="shared" si="1"/>
        <v>3</v>
      </c>
      <c r="D17" s="177" t="s">
        <v>615</v>
      </c>
      <c r="E17" s="178" t="s">
        <v>616</v>
      </c>
      <c r="F17" s="142" t="b">
        <v>1</v>
      </c>
      <c r="G17" s="142" t="b">
        <v>1</v>
      </c>
      <c r="H17" s="142" t="b">
        <v>1</v>
      </c>
      <c r="I17" s="149" t="b">
        <v>0</v>
      </c>
      <c r="J17" s="179"/>
      <c r="K17" s="141" t="s">
        <v>610</v>
      </c>
      <c r="L17" s="133"/>
      <c r="M17" s="133"/>
      <c r="N17" s="133"/>
      <c r="O17" s="133"/>
      <c r="P17" s="133"/>
      <c r="Q17" s="133"/>
      <c r="R17" s="133"/>
      <c r="S17" s="133"/>
      <c r="T17" s="133"/>
      <c r="U17" s="133"/>
    </row>
    <row r="18" outlineLevel="1">
      <c r="A18" s="47"/>
      <c r="B18" s="47"/>
      <c r="C18" s="42">
        <f t="shared" si="1"/>
        <v>3</v>
      </c>
      <c r="D18" s="177" t="s">
        <v>617</v>
      </c>
      <c r="E18" s="178" t="s">
        <v>618</v>
      </c>
      <c r="F18" s="142" t="b">
        <v>1</v>
      </c>
      <c r="G18" s="142" t="b">
        <v>1</v>
      </c>
      <c r="H18" s="142" t="b">
        <v>1</v>
      </c>
      <c r="I18" s="149" t="b">
        <v>0</v>
      </c>
      <c r="J18" s="179"/>
      <c r="K18" s="141" t="s">
        <v>610</v>
      </c>
      <c r="L18" s="133"/>
      <c r="M18" s="133"/>
      <c r="N18" s="133"/>
      <c r="O18" s="133"/>
      <c r="P18" s="133"/>
      <c r="Q18" s="133"/>
      <c r="R18" s="133"/>
      <c r="S18" s="133"/>
      <c r="T18" s="133"/>
      <c r="U18" s="133"/>
    </row>
    <row r="19" outlineLevel="1">
      <c r="A19" s="50"/>
      <c r="B19" s="50"/>
      <c r="C19" s="35">
        <f t="shared" si="1"/>
        <v>3</v>
      </c>
      <c r="D19" s="174" t="s">
        <v>619</v>
      </c>
      <c r="E19" s="175" t="s">
        <v>620</v>
      </c>
      <c r="F19" s="153" t="b">
        <v>1</v>
      </c>
      <c r="G19" s="153" t="b">
        <v>1</v>
      </c>
      <c r="H19" s="153" t="b">
        <v>1</v>
      </c>
      <c r="I19" s="158" t="b">
        <v>0</v>
      </c>
      <c r="J19" s="180"/>
      <c r="K19" s="141" t="s">
        <v>610</v>
      </c>
      <c r="L19" s="133"/>
      <c r="M19" s="133"/>
      <c r="N19" s="133"/>
      <c r="O19" s="133"/>
      <c r="P19" s="133"/>
      <c r="Q19" s="133"/>
      <c r="R19" s="133"/>
      <c r="S19" s="133"/>
      <c r="T19" s="133"/>
      <c r="U19" s="133"/>
    </row>
    <row r="20" outlineLevel="1">
      <c r="A20" s="181" t="s">
        <v>621</v>
      </c>
      <c r="B20" s="56" t="s">
        <v>622</v>
      </c>
      <c r="C20" s="42">
        <f t="shared" si="1"/>
        <v>3</v>
      </c>
      <c r="D20" s="177" t="s">
        <v>623</v>
      </c>
      <c r="E20" s="178" t="s">
        <v>624</v>
      </c>
      <c r="F20" s="142" t="b">
        <v>1</v>
      </c>
      <c r="G20" s="142" t="b">
        <v>1</v>
      </c>
      <c r="H20" s="142" t="b">
        <v>1</v>
      </c>
      <c r="I20" s="149" t="b">
        <v>0</v>
      </c>
      <c r="J20" s="179"/>
      <c r="K20" s="141" t="s">
        <v>625</v>
      </c>
      <c r="L20" s="133"/>
      <c r="M20" s="133"/>
      <c r="N20" s="133"/>
      <c r="O20" s="133"/>
      <c r="P20" s="133"/>
      <c r="Q20" s="133"/>
      <c r="R20" s="133"/>
      <c r="S20" s="133"/>
      <c r="T20" s="133"/>
      <c r="U20" s="133"/>
    </row>
    <row r="21" outlineLevel="1">
      <c r="A21" s="47"/>
      <c r="B21" s="47"/>
      <c r="C21" s="42">
        <f t="shared" si="1"/>
        <v>2</v>
      </c>
      <c r="D21" s="177" t="s">
        <v>626</v>
      </c>
      <c r="E21" s="178" t="s">
        <v>627</v>
      </c>
      <c r="F21" s="142" t="b">
        <v>1</v>
      </c>
      <c r="G21" s="142" t="b">
        <v>0</v>
      </c>
      <c r="H21" s="142" t="b">
        <v>1</v>
      </c>
      <c r="I21" s="142" t="b">
        <v>0</v>
      </c>
      <c r="J21" s="179"/>
      <c r="K21" s="141" t="s">
        <v>628</v>
      </c>
      <c r="L21" s="133"/>
      <c r="M21" s="133"/>
      <c r="N21" s="133"/>
      <c r="O21" s="133"/>
      <c r="P21" s="133"/>
      <c r="Q21" s="133"/>
      <c r="R21" s="133"/>
      <c r="S21" s="133"/>
      <c r="T21" s="133"/>
      <c r="U21" s="133"/>
    </row>
    <row r="22" outlineLevel="1">
      <c r="A22" s="47"/>
      <c r="B22" s="47"/>
      <c r="C22" s="42">
        <f t="shared" si="1"/>
        <v>2</v>
      </c>
      <c r="D22" s="177" t="s">
        <v>629</v>
      </c>
      <c r="E22" s="178" t="s">
        <v>630</v>
      </c>
      <c r="F22" s="142" t="b">
        <v>1</v>
      </c>
      <c r="G22" s="142" t="b">
        <v>0</v>
      </c>
      <c r="H22" s="142" t="b">
        <v>1</v>
      </c>
      <c r="I22" s="142" t="b">
        <v>0</v>
      </c>
      <c r="J22" s="179"/>
      <c r="K22" s="141" t="s">
        <v>628</v>
      </c>
      <c r="L22" s="133"/>
      <c r="M22" s="133"/>
      <c r="N22" s="133"/>
      <c r="O22" s="133"/>
      <c r="P22" s="133"/>
      <c r="Q22" s="133"/>
      <c r="R22" s="133"/>
      <c r="S22" s="133"/>
      <c r="T22" s="133"/>
      <c r="U22" s="133"/>
    </row>
    <row r="23" outlineLevel="1">
      <c r="A23" s="47"/>
      <c r="B23" s="47"/>
      <c r="C23" s="42">
        <f t="shared" si="1"/>
        <v>2</v>
      </c>
      <c r="D23" s="177" t="s">
        <v>631</v>
      </c>
      <c r="E23" s="178" t="s">
        <v>632</v>
      </c>
      <c r="F23" s="142" t="b">
        <v>1</v>
      </c>
      <c r="G23" s="149" t="b">
        <v>0</v>
      </c>
      <c r="H23" s="142" t="b">
        <v>1</v>
      </c>
      <c r="I23" s="149" t="b">
        <v>0</v>
      </c>
      <c r="J23" s="179"/>
      <c r="K23" s="141" t="s">
        <v>628</v>
      </c>
      <c r="L23" s="133"/>
      <c r="M23" s="133"/>
      <c r="N23" s="133"/>
      <c r="O23" s="133"/>
      <c r="P23" s="133"/>
      <c r="Q23" s="133"/>
      <c r="R23" s="133"/>
      <c r="S23" s="133"/>
      <c r="T23" s="133"/>
      <c r="U23" s="133"/>
    </row>
    <row r="24" outlineLevel="1">
      <c r="A24" s="47"/>
      <c r="B24" s="47"/>
      <c r="C24" s="42">
        <f t="shared" si="1"/>
        <v>2</v>
      </c>
      <c r="D24" s="177" t="s">
        <v>633</v>
      </c>
      <c r="E24" s="178" t="s">
        <v>634</v>
      </c>
      <c r="F24" s="142" t="b">
        <v>1</v>
      </c>
      <c r="G24" s="149" t="b">
        <v>0</v>
      </c>
      <c r="H24" s="142" t="b">
        <v>1</v>
      </c>
      <c r="I24" s="149" t="b">
        <v>0</v>
      </c>
      <c r="J24" s="179"/>
      <c r="K24" s="141" t="s">
        <v>628</v>
      </c>
      <c r="L24" s="133"/>
      <c r="M24" s="133"/>
      <c r="N24" s="133"/>
      <c r="O24" s="133"/>
      <c r="P24" s="133"/>
      <c r="Q24" s="133"/>
      <c r="R24" s="133"/>
      <c r="S24" s="133"/>
      <c r="T24" s="133"/>
      <c r="U24" s="133"/>
    </row>
    <row r="25" outlineLevel="1">
      <c r="A25" s="47"/>
      <c r="B25" s="47"/>
      <c r="C25" s="42">
        <f t="shared" si="1"/>
        <v>2</v>
      </c>
      <c r="D25" s="177" t="s">
        <v>635</v>
      </c>
      <c r="E25" s="178" t="s">
        <v>636</v>
      </c>
      <c r="F25" s="142" t="b">
        <v>1</v>
      </c>
      <c r="G25" s="149" t="b">
        <v>0</v>
      </c>
      <c r="H25" s="142" t="b">
        <v>1</v>
      </c>
      <c r="I25" s="149" t="b">
        <v>0</v>
      </c>
      <c r="J25" s="179"/>
      <c r="K25" s="141" t="s">
        <v>628</v>
      </c>
      <c r="L25" s="133"/>
      <c r="M25" s="133"/>
      <c r="N25" s="133"/>
      <c r="O25" s="133"/>
      <c r="P25" s="133"/>
      <c r="Q25" s="133"/>
      <c r="R25" s="133"/>
      <c r="S25" s="133"/>
      <c r="T25" s="133"/>
      <c r="U25" s="133"/>
    </row>
    <row r="26" outlineLevel="1">
      <c r="A26" s="47"/>
      <c r="B26" s="50"/>
      <c r="C26" s="35">
        <f t="shared" si="1"/>
        <v>2</v>
      </c>
      <c r="D26" s="174" t="s">
        <v>637</v>
      </c>
      <c r="E26" s="175" t="s">
        <v>638</v>
      </c>
      <c r="F26" s="153" t="b">
        <v>1</v>
      </c>
      <c r="G26" s="158" t="b">
        <v>0</v>
      </c>
      <c r="H26" s="153" t="b">
        <v>1</v>
      </c>
      <c r="I26" s="158" t="b">
        <v>0</v>
      </c>
      <c r="J26" s="180"/>
      <c r="K26" s="141" t="s">
        <v>628</v>
      </c>
      <c r="L26" s="133"/>
      <c r="M26" s="133"/>
      <c r="N26" s="133"/>
      <c r="O26" s="133"/>
      <c r="P26" s="133"/>
      <c r="Q26" s="133"/>
      <c r="R26" s="133"/>
      <c r="S26" s="133"/>
      <c r="T26" s="133"/>
      <c r="U26" s="133"/>
    </row>
    <row r="27" outlineLevel="1">
      <c r="A27" s="47"/>
      <c r="B27" s="59" t="s">
        <v>639</v>
      </c>
      <c r="C27" s="42">
        <f t="shared" si="1"/>
        <v>2</v>
      </c>
      <c r="D27" s="177" t="s">
        <v>640</v>
      </c>
      <c r="E27" s="178" t="s">
        <v>641</v>
      </c>
      <c r="F27" s="142" t="b">
        <v>1</v>
      </c>
      <c r="G27" s="149" t="b">
        <v>0</v>
      </c>
      <c r="H27" s="142" t="b">
        <v>1</v>
      </c>
      <c r="I27" s="149" t="b">
        <v>0</v>
      </c>
      <c r="J27" s="179"/>
      <c r="K27" s="141" t="s">
        <v>628</v>
      </c>
      <c r="L27" s="133"/>
      <c r="M27" s="133"/>
      <c r="N27" s="133"/>
      <c r="O27" s="133"/>
      <c r="P27" s="133"/>
      <c r="Q27" s="133"/>
      <c r="R27" s="133"/>
      <c r="S27" s="133"/>
      <c r="T27" s="133"/>
      <c r="U27" s="133"/>
    </row>
    <row r="28" outlineLevel="1">
      <c r="A28" s="47"/>
      <c r="B28" s="47"/>
      <c r="C28" s="42">
        <f t="shared" si="1"/>
        <v>2</v>
      </c>
      <c r="D28" s="177" t="s">
        <v>642</v>
      </c>
      <c r="E28" s="178" t="s">
        <v>643</v>
      </c>
      <c r="F28" s="142" t="b">
        <v>1</v>
      </c>
      <c r="G28" s="149" t="b">
        <v>0</v>
      </c>
      <c r="H28" s="142" t="b">
        <v>1</v>
      </c>
      <c r="I28" s="149" t="b">
        <v>0</v>
      </c>
      <c r="J28" s="179"/>
      <c r="K28" s="141" t="s">
        <v>628</v>
      </c>
      <c r="L28" s="133"/>
      <c r="M28" s="133"/>
      <c r="N28" s="133"/>
      <c r="O28" s="133"/>
      <c r="P28" s="133"/>
      <c r="Q28" s="133"/>
      <c r="R28" s="133"/>
      <c r="S28" s="133"/>
      <c r="T28" s="133"/>
      <c r="U28" s="133"/>
    </row>
    <row r="29" outlineLevel="1">
      <c r="A29" s="47"/>
      <c r="B29" s="47"/>
      <c r="C29" s="42">
        <f t="shared" si="1"/>
        <v>4</v>
      </c>
      <c r="D29" s="177" t="s">
        <v>644</v>
      </c>
      <c r="E29" s="178" t="s">
        <v>645</v>
      </c>
      <c r="F29" s="142" t="b">
        <v>1</v>
      </c>
      <c r="G29" s="142" t="b">
        <v>1</v>
      </c>
      <c r="H29" s="142" t="b">
        <v>1</v>
      </c>
      <c r="I29" s="142" t="b">
        <v>1</v>
      </c>
      <c r="J29" s="179"/>
      <c r="K29" s="141" t="s">
        <v>646</v>
      </c>
      <c r="L29" s="133"/>
      <c r="M29" s="133"/>
      <c r="N29" s="133"/>
      <c r="O29" s="133"/>
      <c r="P29" s="133"/>
      <c r="Q29" s="133"/>
      <c r="R29" s="133"/>
      <c r="S29" s="133"/>
      <c r="T29" s="133"/>
      <c r="U29" s="133"/>
    </row>
    <row r="30" outlineLevel="1">
      <c r="A30" s="47"/>
      <c r="B30" s="50"/>
      <c r="C30" s="35">
        <f t="shared" si="1"/>
        <v>3</v>
      </c>
      <c r="D30" s="174" t="s">
        <v>647</v>
      </c>
      <c r="E30" s="175" t="s">
        <v>648</v>
      </c>
      <c r="F30" s="153" t="b">
        <v>1</v>
      </c>
      <c r="G30" s="158" t="b">
        <v>0</v>
      </c>
      <c r="H30" s="153" t="b">
        <v>1</v>
      </c>
      <c r="I30" s="153" t="b">
        <v>1</v>
      </c>
      <c r="J30" s="180"/>
      <c r="K30" s="141" t="s">
        <v>649</v>
      </c>
      <c r="L30" s="133"/>
      <c r="M30" s="133"/>
      <c r="N30" s="133"/>
      <c r="O30" s="133"/>
      <c r="P30" s="133"/>
      <c r="Q30" s="133"/>
      <c r="R30" s="133"/>
      <c r="S30" s="133"/>
      <c r="T30" s="133"/>
      <c r="U30" s="133"/>
    </row>
    <row r="31" outlineLevel="1">
      <c r="A31" s="50"/>
      <c r="B31" s="182" t="s">
        <v>650</v>
      </c>
      <c r="C31" s="35">
        <f t="shared" si="1"/>
        <v>4</v>
      </c>
      <c r="D31" s="174" t="s">
        <v>651</v>
      </c>
      <c r="E31" s="175" t="s">
        <v>652</v>
      </c>
      <c r="F31" s="153" t="b">
        <v>1</v>
      </c>
      <c r="G31" s="153" t="b">
        <v>1</v>
      </c>
      <c r="H31" s="153" t="b">
        <v>1</v>
      </c>
      <c r="I31" s="153" t="b">
        <v>1</v>
      </c>
      <c r="J31" s="180"/>
      <c r="K31" s="141" t="s">
        <v>653</v>
      </c>
      <c r="L31" s="133"/>
      <c r="M31" s="133"/>
      <c r="N31" s="133"/>
      <c r="O31" s="133"/>
      <c r="P31" s="133"/>
      <c r="Q31" s="133"/>
      <c r="R31" s="133"/>
      <c r="S31" s="133"/>
      <c r="T31" s="133"/>
      <c r="U31" s="133"/>
    </row>
    <row r="32" ht="66.0" customHeight="1" outlineLevel="1">
      <c r="A32" s="85" t="s">
        <v>90</v>
      </c>
      <c r="B32" s="84" t="s">
        <v>654</v>
      </c>
      <c r="C32" s="42">
        <f t="shared" si="1"/>
        <v>3</v>
      </c>
      <c r="D32" s="177" t="s">
        <v>655</v>
      </c>
      <c r="E32" s="178" t="s">
        <v>656</v>
      </c>
      <c r="F32" s="142" t="b">
        <v>1</v>
      </c>
      <c r="G32" s="142" t="b">
        <v>1</v>
      </c>
      <c r="H32" s="142" t="b">
        <v>1</v>
      </c>
      <c r="I32" s="149" t="b">
        <v>0</v>
      </c>
      <c r="J32" s="179"/>
      <c r="K32" s="141" t="s">
        <v>657</v>
      </c>
      <c r="L32" s="133"/>
      <c r="M32" s="133"/>
      <c r="N32" s="133"/>
      <c r="O32" s="133"/>
      <c r="P32" s="133"/>
      <c r="Q32" s="133"/>
      <c r="R32" s="133"/>
      <c r="S32" s="133"/>
      <c r="T32" s="133"/>
      <c r="U32" s="133"/>
    </row>
    <row r="33" ht="96.75" customHeight="1" outlineLevel="1">
      <c r="A33" s="47"/>
      <c r="B33" s="47"/>
      <c r="C33" s="42">
        <f t="shared" si="1"/>
        <v>3</v>
      </c>
      <c r="D33" s="177" t="s">
        <v>658</v>
      </c>
      <c r="E33" s="178" t="s">
        <v>659</v>
      </c>
      <c r="F33" s="142" t="b">
        <v>1</v>
      </c>
      <c r="G33" s="142" t="b">
        <v>1</v>
      </c>
      <c r="H33" s="142" t="b">
        <v>1</v>
      </c>
      <c r="I33" s="149" t="b">
        <v>0</v>
      </c>
      <c r="J33" s="179"/>
      <c r="K33" s="141" t="s">
        <v>657</v>
      </c>
      <c r="L33" s="133"/>
      <c r="M33" s="133"/>
      <c r="N33" s="133"/>
      <c r="O33" s="133"/>
      <c r="P33" s="133"/>
      <c r="Q33" s="133"/>
      <c r="R33" s="133"/>
      <c r="S33" s="133"/>
      <c r="T33" s="133"/>
      <c r="U33" s="133"/>
    </row>
    <row r="34" ht="72.0" customHeight="1" outlineLevel="1">
      <c r="A34" s="47"/>
      <c r="B34" s="47"/>
      <c r="C34" s="42">
        <f t="shared" si="1"/>
        <v>1</v>
      </c>
      <c r="D34" s="177" t="s">
        <v>660</v>
      </c>
      <c r="E34" s="178" t="s">
        <v>661</v>
      </c>
      <c r="F34" s="149" t="b">
        <v>0</v>
      </c>
      <c r="G34" s="149" t="b">
        <v>0</v>
      </c>
      <c r="H34" s="142" t="b">
        <v>1</v>
      </c>
      <c r="I34" s="149" t="b">
        <v>0</v>
      </c>
      <c r="J34" s="179"/>
      <c r="K34" s="141" t="s">
        <v>662</v>
      </c>
      <c r="L34" s="133"/>
      <c r="M34" s="133"/>
      <c r="N34" s="133"/>
      <c r="O34" s="133"/>
      <c r="P34" s="133"/>
      <c r="Q34" s="133"/>
      <c r="R34" s="133"/>
      <c r="S34" s="133"/>
      <c r="T34" s="133"/>
      <c r="U34" s="133"/>
    </row>
    <row r="35" ht="52.5" customHeight="1" outlineLevel="1">
      <c r="A35" s="50"/>
      <c r="B35" s="50"/>
      <c r="C35" s="35">
        <f t="shared" si="1"/>
        <v>2</v>
      </c>
      <c r="D35" s="174" t="s">
        <v>663</v>
      </c>
      <c r="E35" s="175" t="s">
        <v>664</v>
      </c>
      <c r="F35" s="158" t="b">
        <v>0</v>
      </c>
      <c r="G35" s="153" t="b">
        <v>1</v>
      </c>
      <c r="H35" s="153" t="b">
        <v>1</v>
      </c>
      <c r="I35" s="158" t="b">
        <v>0</v>
      </c>
      <c r="J35" s="180"/>
      <c r="K35" s="141" t="s">
        <v>665</v>
      </c>
      <c r="L35" s="133"/>
      <c r="M35" s="133"/>
      <c r="N35" s="133"/>
      <c r="O35" s="133"/>
      <c r="P35" s="133"/>
      <c r="Q35" s="133"/>
      <c r="R35" s="133"/>
      <c r="S35" s="133"/>
      <c r="T35" s="133"/>
      <c r="U35" s="133"/>
    </row>
    <row r="36" outlineLevel="1">
      <c r="A36" s="94" t="s">
        <v>666</v>
      </c>
      <c r="B36" s="91" t="s">
        <v>667</v>
      </c>
      <c r="C36" s="42">
        <f t="shared" si="1"/>
        <v>3</v>
      </c>
      <c r="D36" s="177" t="s">
        <v>668</v>
      </c>
      <c r="E36" s="178" t="s">
        <v>669</v>
      </c>
      <c r="F36" s="142" t="b">
        <v>1</v>
      </c>
      <c r="G36" s="142" t="b">
        <v>0</v>
      </c>
      <c r="H36" s="142" t="b">
        <v>1</v>
      </c>
      <c r="I36" s="142" t="b">
        <v>1</v>
      </c>
      <c r="J36" s="179"/>
      <c r="K36" s="141" t="s">
        <v>670</v>
      </c>
      <c r="L36" s="133"/>
      <c r="M36" s="133"/>
      <c r="N36" s="133"/>
      <c r="O36" s="133"/>
      <c r="P36" s="133"/>
      <c r="Q36" s="133"/>
      <c r="R36" s="133"/>
      <c r="S36" s="133"/>
      <c r="T36" s="133"/>
      <c r="U36" s="133"/>
    </row>
    <row r="37" outlineLevel="1">
      <c r="A37" s="47"/>
      <c r="B37" s="47"/>
      <c r="C37" s="42">
        <f t="shared" si="1"/>
        <v>4</v>
      </c>
      <c r="D37" s="177" t="s">
        <v>671</v>
      </c>
      <c r="E37" s="178" t="s">
        <v>672</v>
      </c>
      <c r="F37" s="142" t="b">
        <v>1</v>
      </c>
      <c r="G37" s="142" t="b">
        <v>1</v>
      </c>
      <c r="H37" s="142" t="b">
        <v>1</v>
      </c>
      <c r="I37" s="142" t="b">
        <v>1</v>
      </c>
      <c r="J37" s="179"/>
      <c r="K37" s="141" t="s">
        <v>673</v>
      </c>
      <c r="L37" s="133"/>
      <c r="M37" s="133"/>
      <c r="N37" s="133"/>
      <c r="O37" s="133"/>
      <c r="P37" s="133"/>
      <c r="Q37" s="133"/>
      <c r="R37" s="133"/>
      <c r="S37" s="133"/>
      <c r="T37" s="133"/>
      <c r="U37" s="133"/>
    </row>
    <row r="38" outlineLevel="1">
      <c r="A38" s="47"/>
      <c r="B38" s="47"/>
      <c r="C38" s="42">
        <f t="shared" si="1"/>
        <v>4</v>
      </c>
      <c r="D38" s="177" t="s">
        <v>674</v>
      </c>
      <c r="E38" s="178" t="s">
        <v>675</v>
      </c>
      <c r="F38" s="142" t="b">
        <v>1</v>
      </c>
      <c r="G38" s="142" t="b">
        <v>1</v>
      </c>
      <c r="H38" s="142" t="b">
        <v>1</v>
      </c>
      <c r="I38" s="142" t="b">
        <v>1</v>
      </c>
      <c r="J38" s="179"/>
      <c r="K38" s="141" t="s">
        <v>673</v>
      </c>
      <c r="L38" s="133"/>
      <c r="M38" s="133"/>
      <c r="N38" s="133"/>
      <c r="O38" s="133"/>
      <c r="P38" s="133"/>
      <c r="Q38" s="133"/>
      <c r="R38" s="133"/>
      <c r="S38" s="133"/>
      <c r="T38" s="133"/>
      <c r="U38" s="133"/>
    </row>
    <row r="39" outlineLevel="1">
      <c r="A39" s="47"/>
      <c r="B39" s="47"/>
      <c r="C39" s="42">
        <f t="shared" si="1"/>
        <v>4</v>
      </c>
      <c r="D39" s="177" t="s">
        <v>676</v>
      </c>
      <c r="E39" s="178" t="s">
        <v>677</v>
      </c>
      <c r="F39" s="142" t="b">
        <v>1</v>
      </c>
      <c r="G39" s="142" t="b">
        <v>1</v>
      </c>
      <c r="H39" s="142" t="b">
        <v>1</v>
      </c>
      <c r="I39" s="142" t="b">
        <v>1</v>
      </c>
      <c r="J39" s="179"/>
      <c r="K39" s="141" t="s">
        <v>673</v>
      </c>
      <c r="L39" s="133"/>
      <c r="M39" s="133"/>
      <c r="N39" s="133"/>
      <c r="O39" s="133"/>
      <c r="P39" s="133"/>
      <c r="Q39" s="133"/>
      <c r="R39" s="133"/>
      <c r="S39" s="133"/>
      <c r="T39" s="133"/>
      <c r="U39" s="133"/>
    </row>
    <row r="40" outlineLevel="1">
      <c r="A40" s="47"/>
      <c r="B40" s="47"/>
      <c r="C40" s="42">
        <f t="shared" si="1"/>
        <v>4</v>
      </c>
      <c r="D40" s="177" t="s">
        <v>678</v>
      </c>
      <c r="E40" s="178" t="s">
        <v>679</v>
      </c>
      <c r="F40" s="142" t="b">
        <v>1</v>
      </c>
      <c r="G40" s="142" t="b">
        <v>1</v>
      </c>
      <c r="H40" s="142" t="b">
        <v>1</v>
      </c>
      <c r="I40" s="142" t="b">
        <v>1</v>
      </c>
      <c r="J40" s="179"/>
      <c r="K40" s="141" t="s">
        <v>673</v>
      </c>
      <c r="L40" s="133"/>
      <c r="M40" s="133"/>
      <c r="N40" s="133"/>
      <c r="O40" s="133"/>
      <c r="P40" s="133"/>
      <c r="Q40" s="133"/>
      <c r="R40" s="133"/>
      <c r="S40" s="133"/>
      <c r="T40" s="133"/>
      <c r="U40" s="133"/>
    </row>
    <row r="41" outlineLevel="1">
      <c r="A41" s="47"/>
      <c r="B41" s="47"/>
      <c r="C41" s="42">
        <f t="shared" si="1"/>
        <v>3</v>
      </c>
      <c r="D41" s="177" t="s">
        <v>680</v>
      </c>
      <c r="E41" s="178" t="s">
        <v>681</v>
      </c>
      <c r="F41" s="142" t="b">
        <v>1</v>
      </c>
      <c r="G41" s="149" t="b">
        <v>0</v>
      </c>
      <c r="H41" s="142" t="b">
        <v>1</v>
      </c>
      <c r="I41" s="142" t="b">
        <v>1</v>
      </c>
      <c r="J41" s="179"/>
      <c r="K41" s="141" t="s">
        <v>682</v>
      </c>
      <c r="L41" s="133"/>
      <c r="M41" s="133"/>
      <c r="N41" s="133"/>
      <c r="O41" s="133"/>
      <c r="P41" s="133"/>
      <c r="Q41" s="133"/>
      <c r="R41" s="133"/>
      <c r="S41" s="133"/>
      <c r="T41" s="133"/>
      <c r="U41" s="133"/>
    </row>
    <row r="42" outlineLevel="1">
      <c r="A42" s="50"/>
      <c r="B42" s="50"/>
      <c r="C42" s="35">
        <f t="shared" si="1"/>
        <v>3</v>
      </c>
      <c r="D42" s="174" t="s">
        <v>683</v>
      </c>
      <c r="E42" s="175" t="s">
        <v>684</v>
      </c>
      <c r="F42" s="153" t="b">
        <v>1</v>
      </c>
      <c r="G42" s="158" t="b">
        <v>0</v>
      </c>
      <c r="H42" s="153" t="b">
        <v>1</v>
      </c>
      <c r="I42" s="153" t="b">
        <v>1</v>
      </c>
      <c r="J42" s="180"/>
      <c r="K42" s="141" t="s">
        <v>685</v>
      </c>
      <c r="L42" s="133"/>
      <c r="M42" s="133"/>
      <c r="N42" s="133"/>
      <c r="O42" s="133"/>
      <c r="P42" s="133"/>
      <c r="Q42" s="133"/>
      <c r="R42" s="133"/>
      <c r="S42" s="133"/>
      <c r="T42" s="133"/>
      <c r="U42" s="133"/>
    </row>
    <row r="43" ht="73.5" customHeight="1" outlineLevel="1">
      <c r="A43" s="184" t="s">
        <v>686</v>
      </c>
      <c r="B43" s="162" t="s">
        <v>688</v>
      </c>
      <c r="C43" s="42">
        <f t="shared" si="1"/>
        <v>3</v>
      </c>
      <c r="D43" s="177" t="s">
        <v>689</v>
      </c>
      <c r="E43" s="178" t="s">
        <v>690</v>
      </c>
      <c r="F43" s="142" t="b">
        <v>0</v>
      </c>
      <c r="G43" s="142" t="b">
        <v>1</v>
      </c>
      <c r="H43" s="142" t="b">
        <v>1</v>
      </c>
      <c r="I43" s="142" t="b">
        <v>1</v>
      </c>
      <c r="J43" s="179"/>
      <c r="K43" s="141" t="s">
        <v>692</v>
      </c>
      <c r="L43" s="133"/>
      <c r="M43" s="133"/>
      <c r="N43" s="133"/>
      <c r="O43" s="133"/>
      <c r="P43" s="133"/>
      <c r="Q43" s="133"/>
      <c r="R43" s="133"/>
      <c r="S43" s="133"/>
      <c r="T43" s="133"/>
      <c r="U43" s="133"/>
    </row>
    <row r="44" ht="40.5" customHeight="1" outlineLevel="1">
      <c r="A44" s="47"/>
      <c r="B44" s="47"/>
      <c r="C44" s="42">
        <f t="shared" si="1"/>
        <v>1</v>
      </c>
      <c r="D44" s="177" t="s">
        <v>693</v>
      </c>
      <c r="E44" s="178" t="s">
        <v>694</v>
      </c>
      <c r="F44" s="149" t="b">
        <v>0</v>
      </c>
      <c r="G44" s="149" t="b">
        <v>0</v>
      </c>
      <c r="H44" s="142" t="b">
        <v>1</v>
      </c>
      <c r="I44" s="149" t="b">
        <v>0</v>
      </c>
      <c r="J44" s="179"/>
      <c r="K44" s="141" t="s">
        <v>695</v>
      </c>
      <c r="L44" s="133"/>
      <c r="M44" s="133"/>
      <c r="N44" s="133"/>
      <c r="O44" s="133"/>
      <c r="P44" s="133"/>
      <c r="Q44" s="133"/>
      <c r="R44" s="133"/>
      <c r="S44" s="133"/>
      <c r="T44" s="133"/>
      <c r="U44" s="133"/>
    </row>
    <row r="45" outlineLevel="1">
      <c r="A45" s="47"/>
      <c r="B45" s="50"/>
      <c r="C45" s="35">
        <f t="shared" si="1"/>
        <v>3</v>
      </c>
      <c r="D45" s="174" t="s">
        <v>696</v>
      </c>
      <c r="E45" s="175" t="s">
        <v>697</v>
      </c>
      <c r="F45" s="158" t="b">
        <v>0</v>
      </c>
      <c r="G45" s="153" t="b">
        <v>1</v>
      </c>
      <c r="H45" s="153" t="b">
        <v>1</v>
      </c>
      <c r="I45" s="153" t="b">
        <v>1</v>
      </c>
      <c r="J45" s="180"/>
      <c r="K45" s="141" t="s">
        <v>698</v>
      </c>
      <c r="L45" s="133"/>
      <c r="M45" s="133"/>
      <c r="N45" s="133"/>
      <c r="O45" s="133"/>
      <c r="P45" s="133"/>
      <c r="Q45" s="133"/>
      <c r="R45" s="133"/>
      <c r="S45" s="133"/>
      <c r="T45" s="133"/>
      <c r="U45" s="133"/>
    </row>
    <row r="46" outlineLevel="1">
      <c r="A46" s="47"/>
      <c r="B46" s="164" t="s">
        <v>699</v>
      </c>
      <c r="C46" s="42">
        <f t="shared" si="1"/>
        <v>1</v>
      </c>
      <c r="D46" s="177" t="s">
        <v>700</v>
      </c>
      <c r="E46" s="178" t="s">
        <v>702</v>
      </c>
      <c r="F46" s="149" t="b">
        <v>0</v>
      </c>
      <c r="G46" s="149" t="b">
        <v>0</v>
      </c>
      <c r="H46" s="142" t="b">
        <v>1</v>
      </c>
      <c r="I46" s="149" t="b">
        <v>0</v>
      </c>
      <c r="J46" s="179"/>
      <c r="K46" s="141" t="s">
        <v>703</v>
      </c>
      <c r="L46" s="133"/>
      <c r="M46" s="133"/>
      <c r="N46" s="133"/>
      <c r="O46" s="133"/>
      <c r="P46" s="133"/>
      <c r="Q46" s="133"/>
      <c r="R46" s="133"/>
      <c r="S46" s="133"/>
      <c r="T46" s="133"/>
      <c r="U46" s="133"/>
    </row>
    <row r="47" outlineLevel="1">
      <c r="A47" s="47"/>
      <c r="B47" s="47"/>
      <c r="C47" s="42">
        <f t="shared" si="1"/>
        <v>0</v>
      </c>
      <c r="D47" s="177" t="s">
        <v>704</v>
      </c>
      <c r="E47" s="178" t="s">
        <v>705</v>
      </c>
      <c r="F47" s="149" t="b">
        <v>0</v>
      </c>
      <c r="G47" s="149" t="b">
        <v>0</v>
      </c>
      <c r="H47" s="142" t="b">
        <v>0</v>
      </c>
      <c r="I47" s="149" t="b">
        <v>0</v>
      </c>
      <c r="J47" s="179"/>
      <c r="K47" s="141" t="s">
        <v>628</v>
      </c>
      <c r="L47" s="133"/>
      <c r="M47" s="133"/>
      <c r="N47" s="133"/>
      <c r="O47" s="133"/>
      <c r="P47" s="133"/>
      <c r="Q47" s="133"/>
      <c r="R47" s="133"/>
      <c r="S47" s="133"/>
      <c r="T47" s="133"/>
      <c r="U47" s="133"/>
    </row>
    <row r="48" outlineLevel="1">
      <c r="A48" s="47"/>
      <c r="B48" s="47"/>
      <c r="C48" s="42">
        <f t="shared" si="1"/>
        <v>0</v>
      </c>
      <c r="D48" s="177" t="s">
        <v>707</v>
      </c>
      <c r="E48" s="178" t="s">
        <v>708</v>
      </c>
      <c r="F48" s="149" t="b">
        <v>0</v>
      </c>
      <c r="G48" s="149" t="b">
        <v>0</v>
      </c>
      <c r="H48" s="142" t="b">
        <v>0</v>
      </c>
      <c r="I48" s="149" t="b">
        <v>0</v>
      </c>
      <c r="J48" s="179"/>
      <c r="K48" s="141" t="s">
        <v>628</v>
      </c>
      <c r="L48" s="133"/>
      <c r="M48" s="133"/>
      <c r="N48" s="133"/>
      <c r="O48" s="133"/>
      <c r="P48" s="133"/>
      <c r="Q48" s="133"/>
      <c r="R48" s="133"/>
      <c r="S48" s="133"/>
      <c r="T48" s="133"/>
      <c r="U48" s="133"/>
    </row>
    <row r="49" outlineLevel="1">
      <c r="A49" s="47"/>
      <c r="B49" s="47"/>
      <c r="C49" s="42">
        <f t="shared" si="1"/>
        <v>2</v>
      </c>
      <c r="D49" s="177" t="s">
        <v>711</v>
      </c>
      <c r="E49" s="178" t="s">
        <v>712</v>
      </c>
      <c r="F49" s="149" t="b">
        <v>0</v>
      </c>
      <c r="G49" s="149" t="b">
        <v>0</v>
      </c>
      <c r="H49" s="142" t="b">
        <v>1</v>
      </c>
      <c r="I49" s="142" t="b">
        <v>1</v>
      </c>
      <c r="J49" s="179"/>
      <c r="K49" s="141" t="s">
        <v>703</v>
      </c>
      <c r="L49" s="133"/>
      <c r="M49" s="133"/>
      <c r="N49" s="133"/>
      <c r="O49" s="133"/>
      <c r="P49" s="133"/>
      <c r="Q49" s="133"/>
      <c r="R49" s="133"/>
      <c r="S49" s="133"/>
      <c r="T49" s="133"/>
      <c r="U49" s="133"/>
    </row>
    <row r="50" outlineLevel="1">
      <c r="A50" s="47"/>
      <c r="B50" s="47"/>
      <c r="C50" s="42">
        <f t="shared" si="1"/>
        <v>1</v>
      </c>
      <c r="D50" s="177" t="s">
        <v>714</v>
      </c>
      <c r="E50" s="178" t="s">
        <v>715</v>
      </c>
      <c r="F50" s="149" t="b">
        <v>0</v>
      </c>
      <c r="G50" s="149" t="b">
        <v>0</v>
      </c>
      <c r="H50" s="142" t="b">
        <v>1</v>
      </c>
      <c r="I50" s="149" t="b">
        <v>0</v>
      </c>
      <c r="J50" s="179"/>
      <c r="K50" s="141" t="s">
        <v>703</v>
      </c>
      <c r="L50" s="133"/>
      <c r="M50" s="133"/>
      <c r="N50" s="133"/>
      <c r="O50" s="133"/>
      <c r="P50" s="133"/>
      <c r="Q50" s="133"/>
      <c r="R50" s="133"/>
      <c r="S50" s="133"/>
      <c r="T50" s="133"/>
      <c r="U50" s="133"/>
    </row>
    <row r="51" outlineLevel="1">
      <c r="A51" s="50"/>
      <c r="B51" s="50"/>
      <c r="C51" s="42">
        <f t="shared" si="1"/>
        <v>3</v>
      </c>
      <c r="D51" s="174" t="s">
        <v>717</v>
      </c>
      <c r="E51" s="175" t="s">
        <v>718</v>
      </c>
      <c r="F51" s="158" t="b">
        <v>0</v>
      </c>
      <c r="G51" s="153" t="b">
        <v>1</v>
      </c>
      <c r="H51" s="153" t="b">
        <v>1</v>
      </c>
      <c r="I51" s="153" t="b">
        <v>1</v>
      </c>
      <c r="J51" s="176"/>
      <c r="K51" s="141" t="s">
        <v>719</v>
      </c>
      <c r="L51" s="133"/>
      <c r="M51" s="133"/>
      <c r="N51" s="133"/>
      <c r="O51" s="133"/>
      <c r="P51" s="133"/>
      <c r="Q51" s="133"/>
      <c r="R51" s="133"/>
      <c r="S51" s="133"/>
      <c r="T51" s="133"/>
      <c r="U51" s="133"/>
    </row>
    <row r="52">
      <c r="A52" s="97"/>
      <c r="B52" s="97"/>
      <c r="C52" s="97"/>
      <c r="D52" s="97"/>
      <c r="E52" s="97"/>
      <c r="F52" s="97"/>
      <c r="G52" s="97"/>
      <c r="H52" s="97"/>
      <c r="I52" s="97"/>
      <c r="J52" s="197"/>
      <c r="K52" s="197" t="s">
        <v>723</v>
      </c>
      <c r="L52" s="133"/>
      <c r="M52" s="133"/>
      <c r="N52" s="133"/>
      <c r="O52" s="133"/>
      <c r="P52" s="133"/>
      <c r="Q52" s="133"/>
      <c r="R52" s="133"/>
      <c r="S52" s="133"/>
      <c r="T52" s="133"/>
      <c r="U52" s="133"/>
    </row>
    <row r="53" outlineLevel="1">
      <c r="A53" s="100" t="s">
        <v>4</v>
      </c>
      <c r="C53" s="102" t="s">
        <v>184</v>
      </c>
      <c r="D53" s="103">
        <f>countif(L56:L102,TRUE)</f>
        <v>16</v>
      </c>
      <c r="E53" s="104" t="s">
        <v>195</v>
      </c>
      <c r="F53" s="102" t="s">
        <v>196</v>
      </c>
      <c r="H53" s="105">
        <f>IFERROR(__xludf.DUMMYFUNCTION("COUNTUNIQUE(D5:D51)"),47.0)</f>
        <v>47</v>
      </c>
      <c r="I53" s="107" t="s">
        <v>206</v>
      </c>
      <c r="J53" s="108"/>
      <c r="K53" s="108">
        <f>H53/3</f>
        <v>15.66666667</v>
      </c>
      <c r="L53" s="26"/>
      <c r="M53" s="26"/>
      <c r="N53" s="26"/>
      <c r="O53" s="26"/>
      <c r="P53" s="26"/>
      <c r="Q53" s="26"/>
      <c r="R53" s="26"/>
      <c r="S53" s="26"/>
      <c r="T53" s="26"/>
      <c r="U53" s="26"/>
    </row>
    <row r="54">
      <c r="A54" s="109" t="s">
        <v>216</v>
      </c>
      <c r="B54" s="13"/>
      <c r="C54" s="111">
        <v>2.0</v>
      </c>
      <c r="D54" s="9"/>
      <c r="E54" s="112" t="s">
        <v>226</v>
      </c>
      <c r="F54" s="9"/>
      <c r="G54" s="9"/>
      <c r="H54" s="9"/>
      <c r="I54" s="9"/>
      <c r="J54" s="9"/>
      <c r="K54" s="9"/>
      <c r="L54" s="133"/>
      <c r="M54" s="133"/>
      <c r="N54" s="133"/>
      <c r="O54" s="133"/>
      <c r="P54" s="133"/>
      <c r="Q54" s="133"/>
      <c r="R54" s="133"/>
      <c r="S54" s="133"/>
      <c r="T54" s="133"/>
      <c r="U54" s="133"/>
    </row>
    <row r="55">
      <c r="A55" s="17" t="s">
        <v>7</v>
      </c>
      <c r="B55" s="19"/>
      <c r="C55" s="20" t="s">
        <v>8</v>
      </c>
      <c r="D55" s="21" t="s">
        <v>9</v>
      </c>
      <c r="E55" s="31" t="s">
        <v>10</v>
      </c>
      <c r="F55" s="20" t="s">
        <v>12</v>
      </c>
      <c r="G55" s="20" t="s">
        <v>13</v>
      </c>
      <c r="H55" s="20" t="s">
        <v>234</v>
      </c>
      <c r="I55" s="20" t="s">
        <v>17</v>
      </c>
      <c r="J55" s="20"/>
      <c r="K55" s="20" t="s">
        <v>18</v>
      </c>
      <c r="L55" s="21" t="s">
        <v>235</v>
      </c>
      <c r="M55" s="133"/>
      <c r="N55" s="133"/>
      <c r="O55" s="133"/>
      <c r="P55" s="133"/>
      <c r="Q55" s="133"/>
      <c r="R55" s="133"/>
      <c r="S55" s="133"/>
      <c r="T55" s="133"/>
      <c r="U55" s="133"/>
    </row>
    <row r="56">
      <c r="A56" s="79" t="s">
        <v>579</v>
      </c>
      <c r="B56" s="34" t="s">
        <v>580</v>
      </c>
      <c r="C56" s="35">
        <f t="shared" ref="C56:C102" si="4">countif(F56:I56,TRUE)</f>
        <v>3</v>
      </c>
      <c r="D56" s="9" t="str">
        <f t="shared" ref="D56:I56" si="2">if($C5&gt;$C$54,D5,"")</f>
        <v>6.NS.A.1</v>
      </c>
      <c r="E56" s="87" t="str">
        <f t="shared" si="2"/>
        <v>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v>
      </c>
      <c r="F56" s="115" t="b">
        <f t="shared" si="2"/>
        <v>1</v>
      </c>
      <c r="G56" s="115" t="b">
        <f t="shared" si="2"/>
        <v>1</v>
      </c>
      <c r="H56" s="115" t="b">
        <f t="shared" si="2"/>
        <v>1</v>
      </c>
      <c r="I56" s="115" t="b">
        <f t="shared" si="2"/>
        <v>0</v>
      </c>
      <c r="J56" s="9"/>
      <c r="K56" s="114" t="str">
        <f t="shared" ref="K56:K102" si="6">if($C5&gt;$C$54,K5,"")</f>
        <v>R- required for algebra
E- used past high school
A- 1-3 questions on ACT
L-</v>
      </c>
      <c r="L56" s="116" t="b">
        <v>1</v>
      </c>
      <c r="M56" s="9">
        <f t="shared" ref="M56:U56" si="3">if($L56=TRUE,C56,"")</f>
        <v>3</v>
      </c>
      <c r="N56" s="9" t="str">
        <f t="shared" si="3"/>
        <v>6.NS.A.1</v>
      </c>
      <c r="O56" s="9" t="str">
        <f t="shared" si="3"/>
        <v>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v>
      </c>
      <c r="P56" s="9" t="b">
        <f t="shared" si="3"/>
        <v>1</v>
      </c>
      <c r="Q56" s="9" t="b">
        <f t="shared" si="3"/>
        <v>1</v>
      </c>
      <c r="R56" s="9" t="b">
        <f t="shared" si="3"/>
        <v>1</v>
      </c>
      <c r="S56" s="9" t="b">
        <f t="shared" si="3"/>
        <v>0</v>
      </c>
      <c r="T56" s="9" t="str">
        <f t="shared" si="3"/>
        <v/>
      </c>
      <c r="U56" s="9" t="str">
        <f t="shared" si="3"/>
        <v>R- required for algebra
E- used past high school
A- 1-3 questions on ACT
L-</v>
      </c>
    </row>
    <row r="57">
      <c r="A57" s="47"/>
      <c r="B57" s="41" t="s">
        <v>585</v>
      </c>
      <c r="C57" s="42">
        <f t="shared" si="4"/>
        <v>0</v>
      </c>
      <c r="D57" s="9" t="str">
        <f t="shared" ref="D57:I57" si="5">if($C6&gt;$C$54,D6,"")</f>
        <v/>
      </c>
      <c r="E57" s="87" t="str">
        <f t="shared" si="5"/>
        <v/>
      </c>
      <c r="F57" s="115" t="str">
        <f t="shared" si="5"/>
        <v/>
      </c>
      <c r="G57" s="115" t="str">
        <f t="shared" si="5"/>
        <v/>
      </c>
      <c r="H57" s="115" t="str">
        <f t="shared" si="5"/>
        <v/>
      </c>
      <c r="I57" s="115" t="str">
        <f t="shared" si="5"/>
        <v/>
      </c>
      <c r="J57" s="9"/>
      <c r="K57" s="114" t="str">
        <f t="shared" si="6"/>
        <v/>
      </c>
      <c r="L57" s="171" t="b">
        <v>0</v>
      </c>
      <c r="M57" s="9" t="str">
        <f t="shared" ref="M57:U57" si="7">if($L57=TRUE,C57,"")</f>
        <v/>
      </c>
      <c r="N57" s="9" t="str">
        <f t="shared" si="7"/>
        <v/>
      </c>
      <c r="O57" s="9" t="str">
        <f t="shared" si="7"/>
        <v/>
      </c>
      <c r="P57" s="9" t="str">
        <f t="shared" si="7"/>
        <v/>
      </c>
      <c r="Q57" s="9" t="str">
        <f t="shared" si="7"/>
        <v/>
      </c>
      <c r="R57" s="9" t="str">
        <f t="shared" si="7"/>
        <v/>
      </c>
      <c r="S57" s="9" t="str">
        <f t="shared" si="7"/>
        <v/>
      </c>
      <c r="T57" s="9" t="str">
        <f t="shared" si="7"/>
        <v/>
      </c>
      <c r="U57" s="9" t="str">
        <f t="shared" si="7"/>
        <v/>
      </c>
    </row>
    <row r="58">
      <c r="A58" s="47"/>
      <c r="B58" s="47"/>
      <c r="C58" s="42">
        <f t="shared" si="4"/>
        <v>4</v>
      </c>
      <c r="D58" s="9" t="str">
        <f t="shared" ref="D58:I58" si="8">if($C7&gt;$C$54,D7,"")</f>
        <v>6.NS.B.3</v>
      </c>
      <c r="E58" s="87" t="str">
        <f t="shared" si="8"/>
        <v>Fluently add, subtract, multiply, and divide multi-digit decimals using the standard algorithm for each operation.</v>
      </c>
      <c r="F58" s="115" t="b">
        <f t="shared" si="8"/>
        <v>1</v>
      </c>
      <c r="G58" s="115" t="b">
        <f t="shared" si="8"/>
        <v>1</v>
      </c>
      <c r="H58" s="115" t="b">
        <f t="shared" si="8"/>
        <v>1</v>
      </c>
      <c r="I58" s="115" t="b">
        <f t="shared" si="8"/>
        <v>1</v>
      </c>
      <c r="J58" s="9"/>
      <c r="K58" s="114" t="str">
        <f t="shared" si="6"/>
        <v>R- required for algebra
E- needed for nearly all future math
A- 1-3 questions on ACT
L- useful in science and real life skills</v>
      </c>
      <c r="L58" s="169" t="b">
        <v>1</v>
      </c>
      <c r="M58" s="9">
        <f t="shared" ref="M58:U58" si="9">if($L58=TRUE,C58,"")</f>
        <v>4</v>
      </c>
      <c r="N58" s="9" t="str">
        <f t="shared" si="9"/>
        <v>6.NS.B.3</v>
      </c>
      <c r="O58" s="9" t="str">
        <f t="shared" si="9"/>
        <v>Fluently add, subtract, multiply, and divide multi-digit decimals using the standard algorithm for each operation.</v>
      </c>
      <c r="P58" s="9" t="b">
        <f t="shared" si="9"/>
        <v>1</v>
      </c>
      <c r="Q58" s="9" t="b">
        <f t="shared" si="9"/>
        <v>1</v>
      </c>
      <c r="R58" s="9" t="b">
        <f t="shared" si="9"/>
        <v>1</v>
      </c>
      <c r="S58" s="9" t="b">
        <f t="shared" si="9"/>
        <v>1</v>
      </c>
      <c r="T58" s="9" t="str">
        <f t="shared" si="9"/>
        <v/>
      </c>
      <c r="U58" s="9" t="str">
        <f t="shared" si="9"/>
        <v>R- required for algebra
E- needed for nearly all future math
A- 1-3 questions on ACT
L- useful in science and real life skills</v>
      </c>
    </row>
    <row r="59">
      <c r="A59" s="47"/>
      <c r="B59" s="50"/>
      <c r="C59" s="35">
        <f t="shared" si="4"/>
        <v>3</v>
      </c>
      <c r="D59" s="9" t="str">
        <f t="shared" ref="D59:I59" si="10">if($C8&gt;$C$54,D8,"")</f>
        <v>6.NS.B.4</v>
      </c>
      <c r="E59" s="87" t="str">
        <f t="shared" si="10"/>
        <v>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v>
      </c>
      <c r="F59" s="115" t="b">
        <f t="shared" si="10"/>
        <v>1</v>
      </c>
      <c r="G59" s="115" t="b">
        <f t="shared" si="10"/>
        <v>1</v>
      </c>
      <c r="H59" s="115" t="b">
        <f t="shared" si="10"/>
        <v>1</v>
      </c>
      <c r="I59" s="115" t="b">
        <f t="shared" si="10"/>
        <v>0</v>
      </c>
      <c r="J59" s="9"/>
      <c r="K59" s="114" t="str">
        <f t="shared" si="6"/>
        <v>R- needed to factor polynomials in 7th and 8th
E- occurs throughout algebra
A- 3-5 questions on ACT
L-</v>
      </c>
      <c r="L59" s="169" t="b">
        <v>1</v>
      </c>
      <c r="M59" s="9">
        <f t="shared" ref="M59:U59" si="11">if($L59=TRUE,C59,"")</f>
        <v>3</v>
      </c>
      <c r="N59" s="9" t="str">
        <f t="shared" si="11"/>
        <v>6.NS.B.4</v>
      </c>
      <c r="O59" s="9" t="str">
        <f t="shared" si="11"/>
        <v>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v>
      </c>
      <c r="P59" s="9" t="b">
        <f t="shared" si="11"/>
        <v>1</v>
      </c>
      <c r="Q59" s="9" t="b">
        <f t="shared" si="11"/>
        <v>1</v>
      </c>
      <c r="R59" s="9" t="b">
        <f t="shared" si="11"/>
        <v>1</v>
      </c>
      <c r="S59" s="9" t="b">
        <f t="shared" si="11"/>
        <v>0</v>
      </c>
      <c r="T59" s="9" t="str">
        <f t="shared" si="11"/>
        <v/>
      </c>
      <c r="U59" s="9" t="str">
        <f t="shared" si="11"/>
        <v>R- needed to factor polynomials in 7th and 8th
E- occurs throughout algebra
A- 3-5 questions on ACT
L-</v>
      </c>
    </row>
    <row r="60">
      <c r="A60" s="47"/>
      <c r="B60" s="51" t="s">
        <v>595</v>
      </c>
      <c r="C60" s="42">
        <f t="shared" si="4"/>
        <v>3</v>
      </c>
      <c r="D60" s="9" t="str">
        <f t="shared" ref="D60:I60" si="12">if($C9&gt;$C$54,D9,"")</f>
        <v>6.NS.C.5</v>
      </c>
      <c r="E60" s="87" t="str">
        <f t="shared" si="12"/>
        <v>Understand that positive and negative numbers are used together to describe quantities having opposite directions or values (e.g., temperature above/below zero, elevation above/below sea level, credits/debits, positive/negative electric charge); use positive and negative numbers to represent quantities in real-world contexts, explaining the meaning of 0 in each situation.</v>
      </c>
      <c r="F60" s="115" t="b">
        <f t="shared" si="12"/>
        <v>1</v>
      </c>
      <c r="G60" s="115" t="b">
        <f t="shared" si="12"/>
        <v>1</v>
      </c>
      <c r="H60" s="115" t="b">
        <f t="shared" si="12"/>
        <v>1</v>
      </c>
      <c r="I60" s="115" t="b">
        <f t="shared" si="12"/>
        <v>0</v>
      </c>
      <c r="J60" s="9"/>
      <c r="K60" s="114" t="str">
        <f t="shared" si="6"/>
        <v>R- foundational for algebra
E- used past 12th grade
A- 3-5 questions on ACT
L-</v>
      </c>
      <c r="L60" s="169" t="b">
        <v>1</v>
      </c>
      <c r="M60" s="9">
        <f t="shared" ref="M60:U60" si="13">if($L60=TRUE,C60,"")</f>
        <v>3</v>
      </c>
      <c r="N60" s="9" t="str">
        <f t="shared" si="13"/>
        <v>6.NS.C.5</v>
      </c>
      <c r="O60" s="9" t="str">
        <f t="shared" si="13"/>
        <v>Understand that positive and negative numbers are used together to describe quantities having opposite directions or values (e.g., temperature above/below zero, elevation above/below sea level, credits/debits, positive/negative electric charge); use positive and negative numbers to represent quantities in real-world contexts, explaining the meaning of 0 in each situation.</v>
      </c>
      <c r="P60" s="9" t="b">
        <f t="shared" si="13"/>
        <v>1</v>
      </c>
      <c r="Q60" s="9" t="b">
        <f t="shared" si="13"/>
        <v>1</v>
      </c>
      <c r="R60" s="9" t="b">
        <f t="shared" si="13"/>
        <v>1</v>
      </c>
      <c r="S60" s="9" t="b">
        <f t="shared" si="13"/>
        <v>0</v>
      </c>
      <c r="T60" s="9" t="str">
        <f t="shared" si="13"/>
        <v/>
      </c>
      <c r="U60" s="9" t="str">
        <f t="shared" si="13"/>
        <v>R- foundational for algebra
E- used past 12th grade
A- 3-5 questions on ACT
L-</v>
      </c>
    </row>
    <row r="61">
      <c r="A61" s="47"/>
      <c r="B61" s="47"/>
      <c r="C61" s="42">
        <f t="shared" si="4"/>
        <v>3</v>
      </c>
      <c r="D61" s="9" t="str">
        <f t="shared" ref="D61:I61" si="14">if($C10&gt;$C$54,D10,"")</f>
        <v>6.NS.C.6</v>
      </c>
      <c r="E61" s="87" t="str">
        <f t="shared" si="14"/>
        <v>Understand a rational number as a point on the number line. Extend number line diagrams and coordinate axes familiar from previous grades to represent points on the line and in the plane with negative number coordinates.</v>
      </c>
      <c r="F61" s="115" t="b">
        <f t="shared" si="14"/>
        <v>1</v>
      </c>
      <c r="G61" s="115" t="b">
        <f t="shared" si="14"/>
        <v>1</v>
      </c>
      <c r="H61" s="115" t="b">
        <f t="shared" si="14"/>
        <v>1</v>
      </c>
      <c r="I61" s="115" t="b">
        <f t="shared" si="14"/>
        <v>0</v>
      </c>
      <c r="J61" s="9"/>
      <c r="K61" s="114" t="str">
        <f t="shared" si="6"/>
        <v>R- foundational for algebra
E- used past 12th grade
A- 3-5 questions on ACT
L-</v>
      </c>
      <c r="L61" s="171" t="b">
        <v>0</v>
      </c>
      <c r="M61" s="9" t="str">
        <f t="shared" ref="M61:U61" si="15">if($L61=TRUE,C61,"")</f>
        <v/>
      </c>
      <c r="N61" s="9" t="str">
        <f t="shared" si="15"/>
        <v/>
      </c>
      <c r="O61" s="9" t="str">
        <f t="shared" si="15"/>
        <v/>
      </c>
      <c r="P61" s="9" t="str">
        <f t="shared" si="15"/>
        <v/>
      </c>
      <c r="Q61" s="9" t="str">
        <f t="shared" si="15"/>
        <v/>
      </c>
      <c r="R61" s="9" t="str">
        <f t="shared" si="15"/>
        <v/>
      </c>
      <c r="S61" s="9" t="str">
        <f t="shared" si="15"/>
        <v/>
      </c>
      <c r="T61" s="9" t="str">
        <f t="shared" si="15"/>
        <v/>
      </c>
      <c r="U61" s="9" t="str">
        <f t="shared" si="15"/>
        <v/>
      </c>
    </row>
    <row r="62">
      <c r="A62" s="47"/>
      <c r="B62" s="47"/>
      <c r="C62" s="42">
        <f t="shared" si="4"/>
        <v>3</v>
      </c>
      <c r="D62" s="9" t="str">
        <f t="shared" ref="D62:I62" si="16">if($C11&gt;$C$54,D11,"")</f>
        <v>6.NS.C.6a</v>
      </c>
      <c r="E62" s="87" t="str">
        <f t="shared" si="16"/>
        <v>Recognize opposite signs of numbers as indicating locations on opposite sides of 0 on the number line; recognize that the opposite of the opposite of a number is the number itself, e.g., –(–3) = 3, and that 0 is its own opposite</v>
      </c>
      <c r="F62" s="115" t="b">
        <f t="shared" si="16"/>
        <v>1</v>
      </c>
      <c r="G62" s="115" t="b">
        <f t="shared" si="16"/>
        <v>1</v>
      </c>
      <c r="H62" s="115" t="b">
        <f t="shared" si="16"/>
        <v>1</v>
      </c>
      <c r="I62" s="115" t="b">
        <f t="shared" si="16"/>
        <v>0</v>
      </c>
      <c r="J62" s="9"/>
      <c r="K62" s="114" t="str">
        <f t="shared" si="6"/>
        <v>R- foundational for algebra
E- used past 12th grade
A- 3-5 questions on ACT
L-</v>
      </c>
      <c r="L62" s="171" t="b">
        <v>0</v>
      </c>
      <c r="M62" s="9" t="str">
        <f t="shared" ref="M62:U62" si="17">if($L62=TRUE,C62,"")</f>
        <v/>
      </c>
      <c r="N62" s="9" t="str">
        <f t="shared" si="17"/>
        <v/>
      </c>
      <c r="O62" s="9" t="str">
        <f t="shared" si="17"/>
        <v/>
      </c>
      <c r="P62" s="9" t="str">
        <f t="shared" si="17"/>
        <v/>
      </c>
      <c r="Q62" s="9" t="str">
        <f t="shared" si="17"/>
        <v/>
      </c>
      <c r="R62" s="9" t="str">
        <f t="shared" si="17"/>
        <v/>
      </c>
      <c r="S62" s="9" t="str">
        <f t="shared" si="17"/>
        <v/>
      </c>
      <c r="T62" s="9" t="str">
        <f t="shared" si="17"/>
        <v/>
      </c>
      <c r="U62" s="9" t="str">
        <f t="shared" si="17"/>
        <v/>
      </c>
    </row>
    <row r="63">
      <c r="A63" s="47"/>
      <c r="B63" s="47"/>
      <c r="C63" s="42">
        <f t="shared" si="4"/>
        <v>3</v>
      </c>
      <c r="D63" s="9" t="str">
        <f t="shared" ref="D63:I63" si="18">if($C12&gt;$C$54,D12,"")</f>
        <v>6.NS.C.6b</v>
      </c>
      <c r="E63" s="87" t="str">
        <f t="shared" si="18"/>
        <v>Understand signs of numbers in ordered pairs as indicating locations in quadrants of the coordinate plane; recognize that when two ordered pairs differ only by signs, the locations of the points are related by reflections across one or both axes.</v>
      </c>
      <c r="F63" s="115" t="b">
        <f t="shared" si="18"/>
        <v>1</v>
      </c>
      <c r="G63" s="115" t="b">
        <f t="shared" si="18"/>
        <v>1</v>
      </c>
      <c r="H63" s="115" t="b">
        <f t="shared" si="18"/>
        <v>1</v>
      </c>
      <c r="I63" s="115" t="b">
        <f t="shared" si="18"/>
        <v>0</v>
      </c>
      <c r="J63" s="9"/>
      <c r="K63" s="114" t="str">
        <f t="shared" si="6"/>
        <v>R- useful interpreting graphs
E- used past 12th grade
A- 3-5 questions on ACT
L-</v>
      </c>
      <c r="L63" s="171" t="b">
        <v>0</v>
      </c>
      <c r="M63" s="9" t="str">
        <f t="shared" ref="M63:U63" si="19">if($L63=TRUE,C63,"")</f>
        <v/>
      </c>
      <c r="N63" s="9" t="str">
        <f t="shared" si="19"/>
        <v/>
      </c>
      <c r="O63" s="9" t="str">
        <f t="shared" si="19"/>
        <v/>
      </c>
      <c r="P63" s="9" t="str">
        <f t="shared" si="19"/>
        <v/>
      </c>
      <c r="Q63" s="9" t="str">
        <f t="shared" si="19"/>
        <v/>
      </c>
      <c r="R63" s="9" t="str">
        <f t="shared" si="19"/>
        <v/>
      </c>
      <c r="S63" s="9" t="str">
        <f t="shared" si="19"/>
        <v/>
      </c>
      <c r="T63" s="9" t="str">
        <f t="shared" si="19"/>
        <v/>
      </c>
      <c r="U63" s="9" t="str">
        <f t="shared" si="19"/>
        <v/>
      </c>
    </row>
    <row r="64">
      <c r="A64" s="47"/>
      <c r="B64" s="47"/>
      <c r="C64" s="42">
        <f t="shared" si="4"/>
        <v>3</v>
      </c>
      <c r="D64" s="9" t="str">
        <f t="shared" ref="D64:I64" si="20">if($C13&gt;$C$54,D13,"")</f>
        <v>6.NS.C.6c</v>
      </c>
      <c r="E64" s="87" t="str">
        <f t="shared" si="20"/>
        <v>Find and position integers and other rational numbers on a horizontal or vertical number line diagram; find and position pairs of integers and other rational numbers on a coordinate plane.</v>
      </c>
      <c r="F64" s="115" t="b">
        <f t="shared" si="20"/>
        <v>1</v>
      </c>
      <c r="G64" s="115" t="b">
        <f t="shared" si="20"/>
        <v>1</v>
      </c>
      <c r="H64" s="115" t="b">
        <f t="shared" si="20"/>
        <v>1</v>
      </c>
      <c r="I64" s="115" t="b">
        <f t="shared" si="20"/>
        <v>0</v>
      </c>
      <c r="J64" s="9"/>
      <c r="K64" s="114" t="str">
        <f t="shared" si="6"/>
        <v>R- foundational for algebra
E- used past 12th grade
A- 3-5 questions on ACT
L-</v>
      </c>
      <c r="L64" s="171" t="b">
        <v>0</v>
      </c>
      <c r="M64" s="9" t="str">
        <f t="shared" ref="M64:U64" si="21">if($L64=TRUE,C64,"")</f>
        <v/>
      </c>
      <c r="N64" s="9" t="str">
        <f t="shared" si="21"/>
        <v/>
      </c>
      <c r="O64" s="9" t="str">
        <f t="shared" si="21"/>
        <v/>
      </c>
      <c r="P64" s="9" t="str">
        <f t="shared" si="21"/>
        <v/>
      </c>
      <c r="Q64" s="9" t="str">
        <f t="shared" si="21"/>
        <v/>
      </c>
      <c r="R64" s="9" t="str">
        <f t="shared" si="21"/>
        <v/>
      </c>
      <c r="S64" s="9" t="str">
        <f t="shared" si="21"/>
        <v/>
      </c>
      <c r="T64" s="9" t="str">
        <f t="shared" si="21"/>
        <v/>
      </c>
      <c r="U64" s="9" t="str">
        <f t="shared" si="21"/>
        <v/>
      </c>
    </row>
    <row r="65">
      <c r="A65" s="47"/>
      <c r="B65" s="47"/>
      <c r="C65" s="42">
        <f t="shared" si="4"/>
        <v>3</v>
      </c>
      <c r="D65" s="9" t="str">
        <f t="shared" ref="D65:I65" si="22">if($C14&gt;$C$54,D14,"")</f>
        <v>6.NS.C.7</v>
      </c>
      <c r="E65" s="87" t="str">
        <f t="shared" si="22"/>
        <v>Understand ordering and absolute value of rational numbers.</v>
      </c>
      <c r="F65" s="115" t="b">
        <f t="shared" si="22"/>
        <v>1</v>
      </c>
      <c r="G65" s="115" t="b">
        <f t="shared" si="22"/>
        <v>1</v>
      </c>
      <c r="H65" s="115" t="b">
        <f t="shared" si="22"/>
        <v>1</v>
      </c>
      <c r="I65" s="115" t="b">
        <f t="shared" si="22"/>
        <v>0</v>
      </c>
      <c r="J65" s="9"/>
      <c r="K65" s="114" t="str">
        <f t="shared" si="6"/>
        <v>R-Useful for algebra
E-foundational number sense for algebraic operations
A-3-5 questions on ACT
L-</v>
      </c>
      <c r="L65" s="169" t="b">
        <v>1</v>
      </c>
      <c r="M65" s="9">
        <f t="shared" ref="M65:U65" si="23">if($L65=TRUE,C65,"")</f>
        <v>3</v>
      </c>
      <c r="N65" s="9" t="str">
        <f t="shared" si="23"/>
        <v>6.NS.C.7</v>
      </c>
      <c r="O65" s="9" t="str">
        <f t="shared" si="23"/>
        <v>Understand ordering and absolute value of rational numbers.</v>
      </c>
      <c r="P65" s="9" t="b">
        <f t="shared" si="23"/>
        <v>1</v>
      </c>
      <c r="Q65" s="9" t="b">
        <f t="shared" si="23"/>
        <v>1</v>
      </c>
      <c r="R65" s="9" t="b">
        <f t="shared" si="23"/>
        <v>1</v>
      </c>
      <c r="S65" s="9" t="b">
        <f t="shared" si="23"/>
        <v>0</v>
      </c>
      <c r="T65" s="9" t="str">
        <f t="shared" si="23"/>
        <v/>
      </c>
      <c r="U65" s="9" t="str">
        <f t="shared" si="23"/>
        <v>R-Useful for algebra
E-foundational number sense for algebraic operations
A-3-5 questions on ACT
L-</v>
      </c>
    </row>
    <row r="66">
      <c r="A66" s="47"/>
      <c r="B66" s="47"/>
      <c r="C66" s="42">
        <f t="shared" si="4"/>
        <v>3</v>
      </c>
      <c r="D66" s="9" t="str">
        <f t="shared" ref="D66:I66" si="24">if($C15&gt;$C$54,D15,"")</f>
        <v>6.NS.C.7a</v>
      </c>
      <c r="E66" s="87" t="str">
        <f t="shared" si="24"/>
        <v>Interpret statements of inequality as statements about the relative position of two numbers on a number line diagram. For example, interpret –3 &gt; –7 as a statement that –3 is located to the right of –7 on a number line oriented from left to right</v>
      </c>
      <c r="F66" s="115" t="b">
        <f t="shared" si="24"/>
        <v>1</v>
      </c>
      <c r="G66" s="115" t="b">
        <f t="shared" si="24"/>
        <v>1</v>
      </c>
      <c r="H66" s="115" t="b">
        <f t="shared" si="24"/>
        <v>1</v>
      </c>
      <c r="I66" s="115" t="b">
        <f t="shared" si="24"/>
        <v>0</v>
      </c>
      <c r="J66" s="9"/>
      <c r="K66" s="114" t="str">
        <f t="shared" si="6"/>
        <v>R-Useful for algebra
E-foundational number sense for algebraic operations
A-3-5 questions on ACT
L-</v>
      </c>
      <c r="L66" s="171" t="b">
        <v>0</v>
      </c>
      <c r="M66" s="9" t="str">
        <f t="shared" ref="M66:U66" si="25">if($L66=TRUE,C66,"")</f>
        <v/>
      </c>
      <c r="N66" s="9" t="str">
        <f t="shared" si="25"/>
        <v/>
      </c>
      <c r="O66" s="9" t="str">
        <f t="shared" si="25"/>
        <v/>
      </c>
      <c r="P66" s="9" t="str">
        <f t="shared" si="25"/>
        <v/>
      </c>
      <c r="Q66" s="9" t="str">
        <f t="shared" si="25"/>
        <v/>
      </c>
      <c r="R66" s="9" t="str">
        <f t="shared" si="25"/>
        <v/>
      </c>
      <c r="S66" s="9" t="str">
        <f t="shared" si="25"/>
        <v/>
      </c>
      <c r="T66" s="9" t="str">
        <f t="shared" si="25"/>
        <v/>
      </c>
      <c r="U66" s="9" t="str">
        <f t="shared" si="25"/>
        <v/>
      </c>
    </row>
    <row r="67">
      <c r="A67" s="47"/>
      <c r="B67" s="47"/>
      <c r="C67" s="42">
        <f t="shared" si="4"/>
        <v>3</v>
      </c>
      <c r="D67" s="9" t="str">
        <f t="shared" ref="D67:I67" si="26">if($C16&gt;$C$54,D16,"")</f>
        <v>6.NS.C.7b</v>
      </c>
      <c r="E67" s="87" t="str">
        <f t="shared" si="26"/>
        <v>Write, interpret, and explain statements of order for rational numbers in real-world contexts. For example, write –3˚C &gt; –7˚C to express the fact that –3˚C is warmer than –7˚C.</v>
      </c>
      <c r="F67" s="115" t="b">
        <f t="shared" si="26"/>
        <v>1</v>
      </c>
      <c r="G67" s="115" t="b">
        <f t="shared" si="26"/>
        <v>1</v>
      </c>
      <c r="H67" s="115" t="b">
        <f t="shared" si="26"/>
        <v>1</v>
      </c>
      <c r="I67" s="115" t="b">
        <f t="shared" si="26"/>
        <v>0</v>
      </c>
      <c r="J67" s="9"/>
      <c r="K67" s="114" t="str">
        <f t="shared" si="6"/>
        <v>R-Useful for algebra
E-foundational number sense for algebraic operations
A-3-5 questions on ACT
L-</v>
      </c>
      <c r="L67" s="171" t="b">
        <v>0</v>
      </c>
      <c r="M67" s="9" t="str">
        <f t="shared" ref="M67:U67" si="27">if($L67=TRUE,C67,"")</f>
        <v/>
      </c>
      <c r="N67" s="9" t="str">
        <f t="shared" si="27"/>
        <v/>
      </c>
      <c r="O67" s="9" t="str">
        <f t="shared" si="27"/>
        <v/>
      </c>
      <c r="P67" s="9" t="str">
        <f t="shared" si="27"/>
        <v/>
      </c>
      <c r="Q67" s="9" t="str">
        <f t="shared" si="27"/>
        <v/>
      </c>
      <c r="R67" s="9" t="str">
        <f t="shared" si="27"/>
        <v/>
      </c>
      <c r="S67" s="9" t="str">
        <f t="shared" si="27"/>
        <v/>
      </c>
      <c r="T67" s="9" t="str">
        <f t="shared" si="27"/>
        <v/>
      </c>
      <c r="U67" s="9" t="str">
        <f t="shared" si="27"/>
        <v/>
      </c>
    </row>
    <row r="68">
      <c r="A68" s="47"/>
      <c r="B68" s="47"/>
      <c r="C68" s="42">
        <f t="shared" si="4"/>
        <v>3</v>
      </c>
      <c r="D68" s="9" t="str">
        <f t="shared" ref="D68:I68" si="28">if($C17&gt;$C$54,D17,"")</f>
        <v>6.NS.C.7c</v>
      </c>
      <c r="E68" s="87" t="str">
        <f t="shared" si="28"/>
        <v>Understand the absolute value of a rational number as its distance from 0 on the number line; interpret absolute value as magnitude for a positive or negative quantity in a real-world situation. For example, for an account balance of –30 dollars, write |–30| = 30 to describe the size of the debt in dollars</v>
      </c>
      <c r="F68" s="115" t="b">
        <f t="shared" si="28"/>
        <v>1</v>
      </c>
      <c r="G68" s="115" t="b">
        <f t="shared" si="28"/>
        <v>1</v>
      </c>
      <c r="H68" s="115" t="b">
        <f t="shared" si="28"/>
        <v>1</v>
      </c>
      <c r="I68" s="115" t="b">
        <f t="shared" si="28"/>
        <v>0</v>
      </c>
      <c r="J68" s="9"/>
      <c r="K68" s="114" t="str">
        <f t="shared" si="6"/>
        <v>R-Useful for algebra
E-foundational number sense for algebraic operations
A-3-5 questions on ACT
L-</v>
      </c>
      <c r="L68" s="171" t="b">
        <v>0</v>
      </c>
      <c r="M68" s="9" t="str">
        <f t="shared" ref="M68:U68" si="29">if($L68=TRUE,C68,"")</f>
        <v/>
      </c>
      <c r="N68" s="9" t="str">
        <f t="shared" si="29"/>
        <v/>
      </c>
      <c r="O68" s="9" t="str">
        <f t="shared" si="29"/>
        <v/>
      </c>
      <c r="P68" s="9" t="str">
        <f t="shared" si="29"/>
        <v/>
      </c>
      <c r="Q68" s="9" t="str">
        <f t="shared" si="29"/>
        <v/>
      </c>
      <c r="R68" s="9" t="str">
        <f t="shared" si="29"/>
        <v/>
      </c>
      <c r="S68" s="9" t="str">
        <f t="shared" si="29"/>
        <v/>
      </c>
      <c r="T68" s="9" t="str">
        <f t="shared" si="29"/>
        <v/>
      </c>
      <c r="U68" s="9" t="str">
        <f t="shared" si="29"/>
        <v/>
      </c>
    </row>
    <row r="69">
      <c r="A69" s="47"/>
      <c r="B69" s="47"/>
      <c r="C69" s="42">
        <f t="shared" si="4"/>
        <v>3</v>
      </c>
      <c r="D69" s="9" t="str">
        <f t="shared" ref="D69:I69" si="30">if($C18&gt;$C$54,D18,"")</f>
        <v>6.NS.C.7d</v>
      </c>
      <c r="E69" s="87" t="str">
        <f t="shared" si="30"/>
        <v>Distinguish comparisons of absolute value from statements about order. For example, recognize that an account balance less than –30 dollars represents a debt greater than 30 dollars.</v>
      </c>
      <c r="F69" s="115" t="b">
        <f t="shared" si="30"/>
        <v>1</v>
      </c>
      <c r="G69" s="115" t="b">
        <f t="shared" si="30"/>
        <v>1</v>
      </c>
      <c r="H69" s="115" t="b">
        <f t="shared" si="30"/>
        <v>1</v>
      </c>
      <c r="I69" s="115" t="b">
        <f t="shared" si="30"/>
        <v>0</v>
      </c>
      <c r="J69" s="9"/>
      <c r="K69" s="114" t="str">
        <f t="shared" si="6"/>
        <v>R-Useful for algebra
E-foundational number sense for algebraic operations
A-3-5 questions on ACT
L-</v>
      </c>
      <c r="L69" s="171" t="b">
        <v>0</v>
      </c>
      <c r="M69" s="9" t="str">
        <f t="shared" ref="M69:U69" si="31">if($L69=TRUE,C69,"")</f>
        <v/>
      </c>
      <c r="N69" s="9" t="str">
        <f t="shared" si="31"/>
        <v/>
      </c>
      <c r="O69" s="9" t="str">
        <f t="shared" si="31"/>
        <v/>
      </c>
      <c r="P69" s="9" t="str">
        <f t="shared" si="31"/>
        <v/>
      </c>
      <c r="Q69" s="9" t="str">
        <f t="shared" si="31"/>
        <v/>
      </c>
      <c r="R69" s="9" t="str">
        <f t="shared" si="31"/>
        <v/>
      </c>
      <c r="S69" s="9" t="str">
        <f t="shared" si="31"/>
        <v/>
      </c>
      <c r="T69" s="9" t="str">
        <f t="shared" si="31"/>
        <v/>
      </c>
      <c r="U69" s="9" t="str">
        <f t="shared" si="31"/>
        <v/>
      </c>
    </row>
    <row r="70">
      <c r="A70" s="50"/>
      <c r="B70" s="50"/>
      <c r="C70" s="35">
        <f t="shared" si="4"/>
        <v>3</v>
      </c>
      <c r="D70" s="9" t="str">
        <f t="shared" ref="D70:I70" si="32">if($C19&gt;$C$54,D19,"")</f>
        <v>6.NS.C.8</v>
      </c>
      <c r="E70" s="87" t="str">
        <f t="shared" si="32"/>
        <v>Solve real-world and mathematical problems by graphing points in all four quadrants of the coordinate plane. Include use of coordinates and absolute value to find distances between points with the same first coordinate or the same second coordinate.</v>
      </c>
      <c r="F70" s="115" t="b">
        <f t="shared" si="32"/>
        <v>1</v>
      </c>
      <c r="G70" s="115" t="b">
        <f t="shared" si="32"/>
        <v>1</v>
      </c>
      <c r="H70" s="115" t="b">
        <f t="shared" si="32"/>
        <v>1</v>
      </c>
      <c r="I70" s="115" t="b">
        <f t="shared" si="32"/>
        <v>0</v>
      </c>
      <c r="J70" s="9"/>
      <c r="K70" s="114" t="str">
        <f t="shared" si="6"/>
        <v>R-Useful for algebra
E-foundational number sense for algebraic operations
A-3-5 questions on ACT
L-</v>
      </c>
      <c r="L70" s="169" t="b">
        <v>1</v>
      </c>
      <c r="M70" s="9">
        <f t="shared" ref="M70:U70" si="33">if($L70=TRUE,C70,"")</f>
        <v>3</v>
      </c>
      <c r="N70" s="9" t="str">
        <f t="shared" si="33"/>
        <v>6.NS.C.8</v>
      </c>
      <c r="O70" s="9" t="str">
        <f t="shared" si="33"/>
        <v>Solve real-world and mathematical problems by graphing points in all four quadrants of the coordinate plane. Include use of coordinates and absolute value to find distances between points with the same first coordinate or the same second coordinate.</v>
      </c>
      <c r="P70" s="9" t="b">
        <f t="shared" si="33"/>
        <v>1</v>
      </c>
      <c r="Q70" s="9" t="b">
        <f t="shared" si="33"/>
        <v>1</v>
      </c>
      <c r="R70" s="9" t="b">
        <f t="shared" si="33"/>
        <v>1</v>
      </c>
      <c r="S70" s="9" t="b">
        <f t="shared" si="33"/>
        <v>0</v>
      </c>
      <c r="T70" s="9" t="str">
        <f t="shared" si="33"/>
        <v/>
      </c>
      <c r="U70" s="9" t="str">
        <f t="shared" si="33"/>
        <v>R-Useful for algebra
E-foundational number sense for algebraic operations
A-3-5 questions on ACT
L-</v>
      </c>
    </row>
    <row r="71">
      <c r="A71" s="181" t="s">
        <v>621</v>
      </c>
      <c r="B71" s="56" t="s">
        <v>622</v>
      </c>
      <c r="C71" s="42">
        <f t="shared" si="4"/>
        <v>3</v>
      </c>
      <c r="D71" s="9" t="str">
        <f t="shared" ref="D71:I71" si="34">if($C20&gt;$C$54,D20,"")</f>
        <v>6.EE.A.1</v>
      </c>
      <c r="E71" s="87" t="str">
        <f t="shared" si="34"/>
        <v>Write and evaluate numerical expressions involving whole-number exponents.</v>
      </c>
      <c r="F71" s="115" t="b">
        <f t="shared" si="34"/>
        <v>1</v>
      </c>
      <c r="G71" s="115" t="b">
        <f t="shared" si="34"/>
        <v>1</v>
      </c>
      <c r="H71" s="115" t="b">
        <f t="shared" si="34"/>
        <v>1</v>
      </c>
      <c r="I71" s="115" t="b">
        <f t="shared" si="34"/>
        <v>0</v>
      </c>
      <c r="J71" s="9"/>
      <c r="K71" s="114" t="str">
        <f t="shared" si="6"/>
        <v>R- used till 12th
E- comes up again with higher DoK questions
A- 3-5 questions on ACT
L-</v>
      </c>
      <c r="L71" s="169" t="b">
        <v>1</v>
      </c>
      <c r="M71" s="9">
        <f t="shared" ref="M71:U71" si="35">if($L71=TRUE,C71,"")</f>
        <v>3</v>
      </c>
      <c r="N71" s="9" t="str">
        <f t="shared" si="35"/>
        <v>6.EE.A.1</v>
      </c>
      <c r="O71" s="9" t="str">
        <f t="shared" si="35"/>
        <v>Write and evaluate numerical expressions involving whole-number exponents.</v>
      </c>
      <c r="P71" s="9" t="b">
        <f t="shared" si="35"/>
        <v>1</v>
      </c>
      <c r="Q71" s="9" t="b">
        <f t="shared" si="35"/>
        <v>1</v>
      </c>
      <c r="R71" s="9" t="b">
        <f t="shared" si="35"/>
        <v>1</v>
      </c>
      <c r="S71" s="9" t="b">
        <f t="shared" si="35"/>
        <v>0</v>
      </c>
      <c r="T71" s="9" t="str">
        <f t="shared" si="35"/>
        <v/>
      </c>
      <c r="U71" s="9" t="str">
        <f t="shared" si="35"/>
        <v>R- used till 12th
E- comes up again with higher DoK questions
A- 3-5 questions on ACT
L-</v>
      </c>
    </row>
    <row r="72">
      <c r="A72" s="47"/>
      <c r="B72" s="47"/>
      <c r="C72" s="42">
        <f t="shared" si="4"/>
        <v>0</v>
      </c>
      <c r="D72" s="9" t="str">
        <f t="shared" ref="D72:I72" si="36">if($C21&gt;$C$54,D21,"")</f>
        <v/>
      </c>
      <c r="E72" s="87" t="str">
        <f t="shared" si="36"/>
        <v/>
      </c>
      <c r="F72" s="115" t="str">
        <f t="shared" si="36"/>
        <v/>
      </c>
      <c r="G72" s="115" t="str">
        <f t="shared" si="36"/>
        <v/>
      </c>
      <c r="H72" s="115" t="str">
        <f t="shared" si="36"/>
        <v/>
      </c>
      <c r="I72" s="115" t="str">
        <f t="shared" si="36"/>
        <v/>
      </c>
      <c r="J72" s="9"/>
      <c r="K72" s="114" t="str">
        <f t="shared" si="6"/>
        <v/>
      </c>
      <c r="L72" s="171" t="b">
        <v>0</v>
      </c>
      <c r="M72" s="9" t="str">
        <f t="shared" ref="M72:U72" si="37">if($L72=TRUE,C72,"")</f>
        <v/>
      </c>
      <c r="N72" s="9" t="str">
        <f t="shared" si="37"/>
        <v/>
      </c>
      <c r="O72" s="9" t="str">
        <f t="shared" si="37"/>
        <v/>
      </c>
      <c r="P72" s="9" t="str">
        <f t="shared" si="37"/>
        <v/>
      </c>
      <c r="Q72" s="9" t="str">
        <f t="shared" si="37"/>
        <v/>
      </c>
      <c r="R72" s="9" t="str">
        <f t="shared" si="37"/>
        <v/>
      </c>
      <c r="S72" s="9" t="str">
        <f t="shared" si="37"/>
        <v/>
      </c>
      <c r="T72" s="9" t="str">
        <f t="shared" si="37"/>
        <v/>
      </c>
      <c r="U72" s="9" t="str">
        <f t="shared" si="37"/>
        <v/>
      </c>
    </row>
    <row r="73">
      <c r="A73" s="47"/>
      <c r="B73" s="47"/>
      <c r="C73" s="42">
        <f t="shared" si="4"/>
        <v>0</v>
      </c>
      <c r="D73" s="9" t="str">
        <f t="shared" ref="D73:I73" si="38">if($C22&gt;$C$54,D22,"")</f>
        <v/>
      </c>
      <c r="E73" s="87" t="str">
        <f t="shared" si="38"/>
        <v/>
      </c>
      <c r="F73" s="115" t="str">
        <f t="shared" si="38"/>
        <v/>
      </c>
      <c r="G73" s="115" t="str">
        <f t="shared" si="38"/>
        <v/>
      </c>
      <c r="H73" s="115" t="str">
        <f t="shared" si="38"/>
        <v/>
      </c>
      <c r="I73" s="115" t="str">
        <f t="shared" si="38"/>
        <v/>
      </c>
      <c r="J73" s="9"/>
      <c r="K73" s="114" t="str">
        <f t="shared" si="6"/>
        <v/>
      </c>
      <c r="L73" s="171" t="b">
        <v>0</v>
      </c>
      <c r="M73" s="9" t="str">
        <f t="shared" ref="M73:U73" si="39">if($L73=TRUE,C73,"")</f>
        <v/>
      </c>
      <c r="N73" s="9" t="str">
        <f t="shared" si="39"/>
        <v/>
      </c>
      <c r="O73" s="9" t="str">
        <f t="shared" si="39"/>
        <v/>
      </c>
      <c r="P73" s="9" t="str">
        <f t="shared" si="39"/>
        <v/>
      </c>
      <c r="Q73" s="9" t="str">
        <f t="shared" si="39"/>
        <v/>
      </c>
      <c r="R73" s="9" t="str">
        <f t="shared" si="39"/>
        <v/>
      </c>
      <c r="S73" s="9" t="str">
        <f t="shared" si="39"/>
        <v/>
      </c>
      <c r="T73" s="9" t="str">
        <f t="shared" si="39"/>
        <v/>
      </c>
      <c r="U73" s="9" t="str">
        <f t="shared" si="39"/>
        <v/>
      </c>
    </row>
    <row r="74">
      <c r="A74" s="47"/>
      <c r="B74" s="47"/>
      <c r="C74" s="42">
        <f t="shared" si="4"/>
        <v>0</v>
      </c>
      <c r="D74" s="9" t="str">
        <f t="shared" ref="D74:I74" si="40">if($C23&gt;$C$54,D23,"")</f>
        <v/>
      </c>
      <c r="E74" s="87" t="str">
        <f t="shared" si="40"/>
        <v/>
      </c>
      <c r="F74" s="115" t="str">
        <f t="shared" si="40"/>
        <v/>
      </c>
      <c r="G74" s="115" t="str">
        <f t="shared" si="40"/>
        <v/>
      </c>
      <c r="H74" s="115" t="str">
        <f t="shared" si="40"/>
        <v/>
      </c>
      <c r="I74" s="115" t="str">
        <f t="shared" si="40"/>
        <v/>
      </c>
      <c r="J74" s="9"/>
      <c r="K74" s="114" t="str">
        <f t="shared" si="6"/>
        <v/>
      </c>
      <c r="L74" s="171" t="b">
        <v>0</v>
      </c>
      <c r="M74" s="9" t="str">
        <f t="shared" ref="M74:U74" si="41">if($L74=TRUE,C74,"")</f>
        <v/>
      </c>
      <c r="N74" s="9" t="str">
        <f t="shared" si="41"/>
        <v/>
      </c>
      <c r="O74" s="9" t="str">
        <f t="shared" si="41"/>
        <v/>
      </c>
      <c r="P74" s="9" t="str">
        <f t="shared" si="41"/>
        <v/>
      </c>
      <c r="Q74" s="9" t="str">
        <f t="shared" si="41"/>
        <v/>
      </c>
      <c r="R74" s="9" t="str">
        <f t="shared" si="41"/>
        <v/>
      </c>
      <c r="S74" s="9" t="str">
        <f t="shared" si="41"/>
        <v/>
      </c>
      <c r="T74" s="9" t="str">
        <f t="shared" si="41"/>
        <v/>
      </c>
      <c r="U74" s="9" t="str">
        <f t="shared" si="41"/>
        <v/>
      </c>
    </row>
    <row r="75">
      <c r="A75" s="47"/>
      <c r="B75" s="47"/>
      <c r="C75" s="42">
        <f t="shared" si="4"/>
        <v>0</v>
      </c>
      <c r="D75" s="9" t="str">
        <f t="shared" ref="D75:I75" si="42">if($C24&gt;$C$54,D24,"")</f>
        <v/>
      </c>
      <c r="E75" s="87" t="str">
        <f t="shared" si="42"/>
        <v/>
      </c>
      <c r="F75" s="115" t="str">
        <f t="shared" si="42"/>
        <v/>
      </c>
      <c r="G75" s="115" t="str">
        <f t="shared" si="42"/>
        <v/>
      </c>
      <c r="H75" s="115" t="str">
        <f t="shared" si="42"/>
        <v/>
      </c>
      <c r="I75" s="115" t="str">
        <f t="shared" si="42"/>
        <v/>
      </c>
      <c r="J75" s="9"/>
      <c r="K75" s="114" t="str">
        <f t="shared" si="6"/>
        <v/>
      </c>
      <c r="L75" s="169" t="b">
        <v>0</v>
      </c>
      <c r="M75" s="9" t="str">
        <f t="shared" ref="M75:U75" si="43">if($L75=TRUE,C75,"")</f>
        <v/>
      </c>
      <c r="N75" s="9" t="str">
        <f t="shared" si="43"/>
        <v/>
      </c>
      <c r="O75" s="9" t="str">
        <f t="shared" si="43"/>
        <v/>
      </c>
      <c r="P75" s="9" t="str">
        <f t="shared" si="43"/>
        <v/>
      </c>
      <c r="Q75" s="9" t="str">
        <f t="shared" si="43"/>
        <v/>
      </c>
      <c r="R75" s="9" t="str">
        <f t="shared" si="43"/>
        <v/>
      </c>
      <c r="S75" s="9" t="str">
        <f t="shared" si="43"/>
        <v/>
      </c>
      <c r="T75" s="9" t="str">
        <f t="shared" si="43"/>
        <v/>
      </c>
      <c r="U75" s="9" t="str">
        <f t="shared" si="43"/>
        <v/>
      </c>
    </row>
    <row r="76">
      <c r="A76" s="47"/>
      <c r="B76" s="47"/>
      <c r="C76" s="42">
        <f t="shared" si="4"/>
        <v>0</v>
      </c>
      <c r="D76" s="9" t="str">
        <f t="shared" ref="D76:I76" si="44">if($C25&gt;$C$54,D25,"")</f>
        <v/>
      </c>
      <c r="E76" s="87" t="str">
        <f t="shared" si="44"/>
        <v/>
      </c>
      <c r="F76" s="115" t="str">
        <f t="shared" si="44"/>
        <v/>
      </c>
      <c r="G76" s="115" t="str">
        <f t="shared" si="44"/>
        <v/>
      </c>
      <c r="H76" s="115" t="str">
        <f t="shared" si="44"/>
        <v/>
      </c>
      <c r="I76" s="115" t="str">
        <f t="shared" si="44"/>
        <v/>
      </c>
      <c r="J76" s="9"/>
      <c r="K76" s="114" t="str">
        <f t="shared" si="6"/>
        <v/>
      </c>
      <c r="L76" s="171" t="b">
        <v>0</v>
      </c>
      <c r="M76" s="9" t="str">
        <f t="shared" ref="M76:U76" si="45">if($L76=TRUE,C76,"")</f>
        <v/>
      </c>
      <c r="N76" s="9" t="str">
        <f t="shared" si="45"/>
        <v/>
      </c>
      <c r="O76" s="9" t="str">
        <f t="shared" si="45"/>
        <v/>
      </c>
      <c r="P76" s="9" t="str">
        <f t="shared" si="45"/>
        <v/>
      </c>
      <c r="Q76" s="9" t="str">
        <f t="shared" si="45"/>
        <v/>
      </c>
      <c r="R76" s="9" t="str">
        <f t="shared" si="45"/>
        <v/>
      </c>
      <c r="S76" s="9" t="str">
        <f t="shared" si="45"/>
        <v/>
      </c>
      <c r="T76" s="9" t="str">
        <f t="shared" si="45"/>
        <v/>
      </c>
      <c r="U76" s="9" t="str">
        <f t="shared" si="45"/>
        <v/>
      </c>
    </row>
    <row r="77">
      <c r="A77" s="47"/>
      <c r="B77" s="50"/>
      <c r="C77" s="35">
        <f t="shared" si="4"/>
        <v>0</v>
      </c>
      <c r="D77" s="9" t="str">
        <f t="shared" ref="D77:I77" si="46">if($C26&gt;$C$54,D26,"")</f>
        <v/>
      </c>
      <c r="E77" s="87" t="str">
        <f t="shared" si="46"/>
        <v/>
      </c>
      <c r="F77" s="115" t="str">
        <f t="shared" si="46"/>
        <v/>
      </c>
      <c r="G77" s="115" t="str">
        <f t="shared" si="46"/>
        <v/>
      </c>
      <c r="H77" s="115" t="str">
        <f t="shared" si="46"/>
        <v/>
      </c>
      <c r="I77" s="115" t="str">
        <f t="shared" si="46"/>
        <v/>
      </c>
      <c r="J77" s="9"/>
      <c r="K77" s="114" t="str">
        <f t="shared" si="6"/>
        <v/>
      </c>
      <c r="L77" s="171" t="b">
        <v>0</v>
      </c>
      <c r="M77" s="9" t="str">
        <f t="shared" ref="M77:U77" si="47">if($L77=TRUE,C77,"")</f>
        <v/>
      </c>
      <c r="N77" s="9" t="str">
        <f t="shared" si="47"/>
        <v/>
      </c>
      <c r="O77" s="9" t="str">
        <f t="shared" si="47"/>
        <v/>
      </c>
      <c r="P77" s="9" t="str">
        <f t="shared" si="47"/>
        <v/>
      </c>
      <c r="Q77" s="9" t="str">
        <f t="shared" si="47"/>
        <v/>
      </c>
      <c r="R77" s="9" t="str">
        <f t="shared" si="47"/>
        <v/>
      </c>
      <c r="S77" s="9" t="str">
        <f t="shared" si="47"/>
        <v/>
      </c>
      <c r="T77" s="9" t="str">
        <f t="shared" si="47"/>
        <v/>
      </c>
      <c r="U77" s="9" t="str">
        <f t="shared" si="47"/>
        <v/>
      </c>
    </row>
    <row r="78">
      <c r="A78" s="47"/>
      <c r="B78" s="59" t="s">
        <v>639</v>
      </c>
      <c r="C78" s="42">
        <f t="shared" si="4"/>
        <v>0</v>
      </c>
      <c r="D78" s="9" t="str">
        <f t="shared" ref="D78:I78" si="48">if($C27&gt;$C$54,D27,"")</f>
        <v/>
      </c>
      <c r="E78" s="87" t="str">
        <f t="shared" si="48"/>
        <v/>
      </c>
      <c r="F78" s="115" t="str">
        <f t="shared" si="48"/>
        <v/>
      </c>
      <c r="G78" s="115" t="str">
        <f t="shared" si="48"/>
        <v/>
      </c>
      <c r="H78" s="115" t="str">
        <f t="shared" si="48"/>
        <v/>
      </c>
      <c r="I78" s="115" t="str">
        <f t="shared" si="48"/>
        <v/>
      </c>
      <c r="J78" s="9"/>
      <c r="K78" s="114" t="str">
        <f t="shared" si="6"/>
        <v/>
      </c>
      <c r="L78" s="171" t="b">
        <v>0</v>
      </c>
      <c r="M78" s="9" t="str">
        <f t="shared" ref="M78:U78" si="49">if($L78=TRUE,C78,"")</f>
        <v/>
      </c>
      <c r="N78" s="9" t="str">
        <f t="shared" si="49"/>
        <v/>
      </c>
      <c r="O78" s="9" t="str">
        <f t="shared" si="49"/>
        <v/>
      </c>
      <c r="P78" s="9" t="str">
        <f t="shared" si="49"/>
        <v/>
      </c>
      <c r="Q78" s="9" t="str">
        <f t="shared" si="49"/>
        <v/>
      </c>
      <c r="R78" s="9" t="str">
        <f t="shared" si="49"/>
        <v/>
      </c>
      <c r="S78" s="9" t="str">
        <f t="shared" si="49"/>
        <v/>
      </c>
      <c r="T78" s="9" t="str">
        <f t="shared" si="49"/>
        <v/>
      </c>
      <c r="U78" s="9" t="str">
        <f t="shared" si="49"/>
        <v/>
      </c>
    </row>
    <row r="79">
      <c r="A79" s="47"/>
      <c r="B79" s="47"/>
      <c r="C79" s="42">
        <f t="shared" si="4"/>
        <v>0</v>
      </c>
      <c r="D79" s="9" t="str">
        <f t="shared" ref="D79:I79" si="50">if($C28&gt;$C$54,D28,"")</f>
        <v/>
      </c>
      <c r="E79" s="87" t="str">
        <f t="shared" si="50"/>
        <v/>
      </c>
      <c r="F79" s="115" t="str">
        <f t="shared" si="50"/>
        <v/>
      </c>
      <c r="G79" s="115" t="str">
        <f t="shared" si="50"/>
        <v/>
      </c>
      <c r="H79" s="115" t="str">
        <f t="shared" si="50"/>
        <v/>
      </c>
      <c r="I79" s="115" t="str">
        <f t="shared" si="50"/>
        <v/>
      </c>
      <c r="J79" s="9"/>
      <c r="K79" s="114" t="str">
        <f t="shared" si="6"/>
        <v/>
      </c>
      <c r="L79" s="171" t="b">
        <v>0</v>
      </c>
      <c r="M79" s="9" t="str">
        <f t="shared" ref="M79:U79" si="51">if($L79=TRUE,C79,"")</f>
        <v/>
      </c>
      <c r="N79" s="9" t="str">
        <f t="shared" si="51"/>
        <v/>
      </c>
      <c r="O79" s="9" t="str">
        <f t="shared" si="51"/>
        <v/>
      </c>
      <c r="P79" s="9" t="str">
        <f t="shared" si="51"/>
        <v/>
      </c>
      <c r="Q79" s="9" t="str">
        <f t="shared" si="51"/>
        <v/>
      </c>
      <c r="R79" s="9" t="str">
        <f t="shared" si="51"/>
        <v/>
      </c>
      <c r="S79" s="9" t="str">
        <f t="shared" si="51"/>
        <v/>
      </c>
      <c r="T79" s="9" t="str">
        <f t="shared" si="51"/>
        <v/>
      </c>
      <c r="U79" s="9" t="str">
        <f t="shared" si="51"/>
        <v/>
      </c>
    </row>
    <row r="80">
      <c r="A80" s="47"/>
      <c r="B80" s="47"/>
      <c r="C80" s="42">
        <f t="shared" si="4"/>
        <v>4</v>
      </c>
      <c r="D80" s="9" t="str">
        <f t="shared" ref="D80:I80" si="52">if($C29&gt;$C$54,D29,"")</f>
        <v>6.EE.B.7</v>
      </c>
      <c r="E80" s="87" t="str">
        <f t="shared" si="52"/>
        <v>Solve real-world and mathematical problems by writing and solving equations of the form x + p = q and px = q for cases in which p, q and x are all nonnegative rational numbers.</v>
      </c>
      <c r="F80" s="115" t="b">
        <f t="shared" si="52"/>
        <v>1</v>
      </c>
      <c r="G80" s="115" t="b">
        <f t="shared" si="52"/>
        <v>1</v>
      </c>
      <c r="H80" s="115" t="b">
        <f t="shared" si="52"/>
        <v>1</v>
      </c>
      <c r="I80" s="115" t="b">
        <f t="shared" si="52"/>
        <v>1</v>
      </c>
      <c r="J80" s="9"/>
      <c r="K80" s="114" t="str">
        <f t="shared" si="6"/>
        <v>R- used past 12th
E- solving for unknowns, part of DoK3's
A- 3-5 questions
L- used to make predictions in science</v>
      </c>
      <c r="L80" s="169" t="b">
        <v>1</v>
      </c>
      <c r="M80" s="9">
        <f t="shared" ref="M80:U80" si="53">if($L80=TRUE,C80,"")</f>
        <v>4</v>
      </c>
      <c r="N80" s="9" t="str">
        <f t="shared" si="53"/>
        <v>6.EE.B.7</v>
      </c>
      <c r="O80" s="9" t="str">
        <f t="shared" si="53"/>
        <v>Solve real-world and mathematical problems by writing and solving equations of the form x + p = q and px = q for cases in which p, q and x are all nonnegative rational numbers.</v>
      </c>
      <c r="P80" s="9" t="b">
        <f t="shared" si="53"/>
        <v>1</v>
      </c>
      <c r="Q80" s="9" t="b">
        <f t="shared" si="53"/>
        <v>1</v>
      </c>
      <c r="R80" s="9" t="b">
        <f t="shared" si="53"/>
        <v>1</v>
      </c>
      <c r="S80" s="9" t="b">
        <f t="shared" si="53"/>
        <v>1</v>
      </c>
      <c r="T80" s="9" t="str">
        <f t="shared" si="53"/>
        <v/>
      </c>
      <c r="U80" s="9" t="str">
        <f t="shared" si="53"/>
        <v>R- used past 12th
E- solving for unknowns, part of DoK3's
A- 3-5 questions
L- used to make predictions in science</v>
      </c>
    </row>
    <row r="81">
      <c r="A81" s="47"/>
      <c r="B81" s="50"/>
      <c r="C81" s="35">
        <f t="shared" si="4"/>
        <v>3</v>
      </c>
      <c r="D81" s="9" t="str">
        <f t="shared" ref="D81:I81" si="54">if($C30&gt;$C$54,D30,"")</f>
        <v>6.EE.B.8</v>
      </c>
      <c r="E81" s="87" t="str">
        <f t="shared" si="54"/>
        <v>Write an inequality of the form x &gt; c or x &lt; c to represent a constraint or condition in a real-world or mathematical problem. Recognize that inequalities of the form x &gt; c or x &lt; c have infinitely many solutions; represent solutions of such inequalities on number line diagrams.</v>
      </c>
      <c r="F81" s="115" t="b">
        <f t="shared" si="54"/>
        <v>1</v>
      </c>
      <c r="G81" s="115" t="b">
        <f t="shared" si="54"/>
        <v>0</v>
      </c>
      <c r="H81" s="115" t="b">
        <f t="shared" si="54"/>
        <v>1</v>
      </c>
      <c r="I81" s="115" t="b">
        <f t="shared" si="54"/>
        <v>1</v>
      </c>
      <c r="J81" s="9"/>
      <c r="K81" s="114" t="str">
        <f t="shared" si="6"/>
        <v>R- used past 12th
A- 3-5 questions
L- used to make predictions in science</v>
      </c>
      <c r="L81" s="169" t="b">
        <v>1</v>
      </c>
      <c r="M81" s="9">
        <f t="shared" ref="M81:U81" si="55">if($L81=TRUE,C81,"")</f>
        <v>3</v>
      </c>
      <c r="N81" s="9" t="str">
        <f t="shared" si="55"/>
        <v>6.EE.B.8</v>
      </c>
      <c r="O81" s="9" t="str">
        <f t="shared" si="55"/>
        <v>Write an inequality of the form x &gt; c or x &lt; c to represent a constraint or condition in a real-world or mathematical problem. Recognize that inequalities of the form x &gt; c or x &lt; c have infinitely many solutions; represent solutions of such inequalities on number line diagrams.</v>
      </c>
      <c r="P81" s="9" t="b">
        <f t="shared" si="55"/>
        <v>1</v>
      </c>
      <c r="Q81" s="9" t="b">
        <f t="shared" si="55"/>
        <v>0</v>
      </c>
      <c r="R81" s="9" t="b">
        <f t="shared" si="55"/>
        <v>1</v>
      </c>
      <c r="S81" s="9" t="b">
        <f t="shared" si="55"/>
        <v>1</v>
      </c>
      <c r="T81" s="9" t="str">
        <f t="shared" si="55"/>
        <v/>
      </c>
      <c r="U81" s="9" t="str">
        <f t="shared" si="55"/>
        <v>R- used past 12th
A- 3-5 questions
L- used to make predictions in science</v>
      </c>
    </row>
    <row r="82">
      <c r="A82" s="50"/>
      <c r="B82" s="182" t="s">
        <v>650</v>
      </c>
      <c r="C82" s="35">
        <f t="shared" si="4"/>
        <v>4</v>
      </c>
      <c r="D82" s="9" t="str">
        <f t="shared" ref="D82:I82" si="56">if($C31&gt;$C$54,D31,"")</f>
        <v>6.EE.C.9</v>
      </c>
      <c r="E82" s="87" t="str">
        <f t="shared" si="56"/>
        <v>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For example, in a problem involving motion at constant speed, list and graph ordered pairs of distances and times, and write the equation d = 65t to represent the relationship between distance and time.</v>
      </c>
      <c r="F82" s="115" t="b">
        <f t="shared" si="56"/>
        <v>1</v>
      </c>
      <c r="G82" s="115" t="b">
        <f t="shared" si="56"/>
        <v>1</v>
      </c>
      <c r="H82" s="115" t="b">
        <f t="shared" si="56"/>
        <v>1</v>
      </c>
      <c r="I82" s="115" t="b">
        <f t="shared" si="56"/>
        <v>1</v>
      </c>
      <c r="J82" s="9"/>
      <c r="K82" s="114" t="str">
        <f t="shared" si="6"/>
        <v>R-Used past 12th
E-Solving for unknowns
A-3-5 Questions on ACT Aspire
L-Science and real-world applications</v>
      </c>
      <c r="L82" s="169" t="b">
        <v>1</v>
      </c>
      <c r="M82" s="9">
        <f t="shared" ref="M82:U82" si="57">if($L82=TRUE,C82,"")</f>
        <v>4</v>
      </c>
      <c r="N82" s="9" t="str">
        <f t="shared" si="57"/>
        <v>6.EE.C.9</v>
      </c>
      <c r="O82" s="9" t="str">
        <f t="shared" si="57"/>
        <v>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For example, in a problem involving motion at constant speed, list and graph ordered pairs of distances and times, and write the equation d = 65t to represent the relationship between distance and time.</v>
      </c>
      <c r="P82" s="9" t="b">
        <f t="shared" si="57"/>
        <v>1</v>
      </c>
      <c r="Q82" s="9" t="b">
        <f t="shared" si="57"/>
        <v>1</v>
      </c>
      <c r="R82" s="9" t="b">
        <f t="shared" si="57"/>
        <v>1</v>
      </c>
      <c r="S82" s="9" t="b">
        <f t="shared" si="57"/>
        <v>1</v>
      </c>
      <c r="T82" s="9" t="str">
        <f t="shared" si="57"/>
        <v/>
      </c>
      <c r="U82" s="9" t="str">
        <f t="shared" si="57"/>
        <v>R-Used past 12th
E-Solving for unknowns
A-3-5 Questions on ACT Aspire
L-Science and real-world applications</v>
      </c>
    </row>
    <row r="83">
      <c r="A83" s="85" t="s">
        <v>90</v>
      </c>
      <c r="B83" s="84" t="s">
        <v>654</v>
      </c>
      <c r="C83" s="42">
        <f t="shared" si="4"/>
        <v>3</v>
      </c>
      <c r="D83" s="9" t="str">
        <f t="shared" ref="D83:I83" si="58">if($C32&gt;$C$54,D32,"")</f>
        <v>6.G.A.1</v>
      </c>
      <c r="E83" s="87" t="str">
        <f t="shared" si="58"/>
        <v>Find the area of right triangles, other triangles, special quadrilaterals, and polygons by composing into rectangles or decomposing into triangles and other shapes; apply these techniques in the context of solving real-world and mathematical problems</v>
      </c>
      <c r="F83" s="115" t="b">
        <f t="shared" si="58"/>
        <v>1</v>
      </c>
      <c r="G83" s="115" t="b">
        <f t="shared" si="58"/>
        <v>1</v>
      </c>
      <c r="H83" s="115" t="b">
        <f t="shared" si="58"/>
        <v>1</v>
      </c>
      <c r="I83" s="115" t="b">
        <f t="shared" si="58"/>
        <v>0</v>
      </c>
      <c r="J83" s="9"/>
      <c r="K83" s="114" t="str">
        <f t="shared" si="6"/>
        <v>R- needed as part of geometry proofs
E- ties into EE standards when finding unknowns
A- 5-7 questions on ACT aspire
L-</v>
      </c>
      <c r="L83" s="169" t="b">
        <v>1</v>
      </c>
      <c r="M83" s="9">
        <f t="shared" ref="M83:U83" si="59">if($L83=TRUE,C83,"")</f>
        <v>3</v>
      </c>
      <c r="N83" s="9" t="str">
        <f t="shared" si="59"/>
        <v>6.G.A.1</v>
      </c>
      <c r="O83" s="9" t="str">
        <f t="shared" si="59"/>
        <v>Find the area of right triangles, other triangles, special quadrilaterals, and polygons by composing into rectangles or decomposing into triangles and other shapes; apply these techniques in the context of solving real-world and mathematical problems</v>
      </c>
      <c r="P83" s="9" t="b">
        <f t="shared" si="59"/>
        <v>1</v>
      </c>
      <c r="Q83" s="9" t="b">
        <f t="shared" si="59"/>
        <v>1</v>
      </c>
      <c r="R83" s="9" t="b">
        <f t="shared" si="59"/>
        <v>1</v>
      </c>
      <c r="S83" s="9" t="b">
        <f t="shared" si="59"/>
        <v>0</v>
      </c>
      <c r="T83" s="9" t="str">
        <f t="shared" si="59"/>
        <v/>
      </c>
      <c r="U83" s="9" t="str">
        <f t="shared" si="59"/>
        <v>R- needed as part of geometry proofs
E- ties into EE standards when finding unknowns
A- 5-7 questions on ACT aspire
L-</v>
      </c>
    </row>
    <row r="84">
      <c r="A84" s="47"/>
      <c r="B84" s="47"/>
      <c r="C84" s="42">
        <f t="shared" si="4"/>
        <v>3</v>
      </c>
      <c r="D84" s="9" t="str">
        <f t="shared" ref="D84:I84" si="60">if($C33&gt;$C$54,D33,"")</f>
        <v>6.G.A.2</v>
      </c>
      <c r="E84" s="87" t="str">
        <f t="shared" si="60"/>
        <v>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v>
      </c>
      <c r="F84" s="115" t="b">
        <f t="shared" si="60"/>
        <v>1</v>
      </c>
      <c r="G84" s="115" t="b">
        <f t="shared" si="60"/>
        <v>1</v>
      </c>
      <c r="H84" s="115" t="b">
        <f t="shared" si="60"/>
        <v>1</v>
      </c>
      <c r="I84" s="115" t="b">
        <f t="shared" si="60"/>
        <v>0</v>
      </c>
      <c r="J84" s="9"/>
      <c r="K84" s="114" t="str">
        <f t="shared" si="6"/>
        <v>R- needed as part of geometry proofs
E- ties into EE standards when finding unknowns
A- 5-7 questions on ACT aspire
L-</v>
      </c>
      <c r="L84" s="169" t="b">
        <v>1</v>
      </c>
      <c r="M84" s="9">
        <f t="shared" ref="M84:U84" si="61">if($L84=TRUE,C84,"")</f>
        <v>3</v>
      </c>
      <c r="N84" s="9" t="str">
        <f t="shared" si="61"/>
        <v>6.G.A.2</v>
      </c>
      <c r="O84" s="9" t="str">
        <f t="shared" si="61"/>
        <v>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v>
      </c>
      <c r="P84" s="9" t="b">
        <f t="shared" si="61"/>
        <v>1</v>
      </c>
      <c r="Q84" s="9" t="b">
        <f t="shared" si="61"/>
        <v>1</v>
      </c>
      <c r="R84" s="9" t="b">
        <f t="shared" si="61"/>
        <v>1</v>
      </c>
      <c r="S84" s="9" t="b">
        <f t="shared" si="61"/>
        <v>0</v>
      </c>
      <c r="T84" s="9" t="str">
        <f t="shared" si="61"/>
        <v/>
      </c>
      <c r="U84" s="9" t="str">
        <f t="shared" si="61"/>
        <v>R- needed as part of geometry proofs
E- ties into EE standards when finding unknowns
A- 5-7 questions on ACT aspire
L-</v>
      </c>
    </row>
    <row r="85">
      <c r="A85" s="47"/>
      <c r="B85" s="47"/>
      <c r="C85" s="42">
        <f t="shared" si="4"/>
        <v>0</v>
      </c>
      <c r="D85" s="9" t="str">
        <f t="shared" ref="D85:I85" si="62">if($C34&gt;$C$54,D34,"")</f>
        <v/>
      </c>
      <c r="E85" s="87" t="str">
        <f t="shared" si="62"/>
        <v/>
      </c>
      <c r="F85" s="115" t="str">
        <f t="shared" si="62"/>
        <v/>
      </c>
      <c r="G85" s="115" t="str">
        <f t="shared" si="62"/>
        <v/>
      </c>
      <c r="H85" s="115" t="str">
        <f t="shared" si="62"/>
        <v/>
      </c>
      <c r="I85" s="115" t="str">
        <f t="shared" si="62"/>
        <v/>
      </c>
      <c r="J85" s="9"/>
      <c r="K85" s="114" t="str">
        <f t="shared" si="6"/>
        <v/>
      </c>
      <c r="L85" s="171" t="b">
        <v>0</v>
      </c>
      <c r="M85" s="9" t="str">
        <f t="shared" ref="M85:U85" si="63">if($L85=TRUE,C85,"")</f>
        <v/>
      </c>
      <c r="N85" s="9" t="str">
        <f t="shared" si="63"/>
        <v/>
      </c>
      <c r="O85" s="9" t="str">
        <f t="shared" si="63"/>
        <v/>
      </c>
      <c r="P85" s="9" t="str">
        <f t="shared" si="63"/>
        <v/>
      </c>
      <c r="Q85" s="9" t="str">
        <f t="shared" si="63"/>
        <v/>
      </c>
      <c r="R85" s="9" t="str">
        <f t="shared" si="63"/>
        <v/>
      </c>
      <c r="S85" s="9" t="str">
        <f t="shared" si="63"/>
        <v/>
      </c>
      <c r="T85" s="9" t="str">
        <f t="shared" si="63"/>
        <v/>
      </c>
      <c r="U85" s="9" t="str">
        <f t="shared" si="63"/>
        <v/>
      </c>
    </row>
    <row r="86">
      <c r="A86" s="50"/>
      <c r="B86" s="50"/>
      <c r="C86" s="35">
        <f t="shared" si="4"/>
        <v>0</v>
      </c>
      <c r="D86" s="9" t="str">
        <f t="shared" ref="D86:I86" si="64">if($C35&gt;$C$54,D35,"")</f>
        <v/>
      </c>
      <c r="E86" s="87" t="str">
        <f t="shared" si="64"/>
        <v/>
      </c>
      <c r="F86" s="115" t="str">
        <f t="shared" si="64"/>
        <v/>
      </c>
      <c r="G86" s="115" t="str">
        <f t="shared" si="64"/>
        <v/>
      </c>
      <c r="H86" s="115" t="str">
        <f t="shared" si="64"/>
        <v/>
      </c>
      <c r="I86" s="115" t="str">
        <f t="shared" si="64"/>
        <v/>
      </c>
      <c r="J86" s="9"/>
      <c r="K86" s="114" t="str">
        <f t="shared" si="6"/>
        <v/>
      </c>
      <c r="L86" s="171" t="b">
        <v>0</v>
      </c>
      <c r="M86" s="9" t="str">
        <f t="shared" ref="M86:U86" si="65">if($L86=TRUE,C86,"")</f>
        <v/>
      </c>
      <c r="N86" s="9" t="str">
        <f t="shared" si="65"/>
        <v/>
      </c>
      <c r="O86" s="9" t="str">
        <f t="shared" si="65"/>
        <v/>
      </c>
      <c r="P86" s="9" t="str">
        <f t="shared" si="65"/>
        <v/>
      </c>
      <c r="Q86" s="9" t="str">
        <f t="shared" si="65"/>
        <v/>
      </c>
      <c r="R86" s="9" t="str">
        <f t="shared" si="65"/>
        <v/>
      </c>
      <c r="S86" s="9" t="str">
        <f t="shared" si="65"/>
        <v/>
      </c>
      <c r="T86" s="9" t="str">
        <f t="shared" si="65"/>
        <v/>
      </c>
      <c r="U86" s="9" t="str">
        <f t="shared" si="65"/>
        <v/>
      </c>
    </row>
    <row r="87">
      <c r="A87" s="94" t="s">
        <v>666</v>
      </c>
      <c r="B87" s="91" t="s">
        <v>667</v>
      </c>
      <c r="C87" s="42">
        <f t="shared" si="4"/>
        <v>3</v>
      </c>
      <c r="D87" s="9" t="str">
        <f t="shared" ref="D87:I87" si="66">if($C36&gt;$C$54,D36,"")</f>
        <v>6.RP.A.1</v>
      </c>
      <c r="E87" s="87" t="str">
        <f t="shared" si="66"/>
        <v>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v>
      </c>
      <c r="F87" s="115" t="b">
        <f t="shared" si="66"/>
        <v>1</v>
      </c>
      <c r="G87" s="115" t="b">
        <f t="shared" si="66"/>
        <v>0</v>
      </c>
      <c r="H87" s="115" t="b">
        <f t="shared" si="66"/>
        <v>1</v>
      </c>
      <c r="I87" s="115" t="b">
        <f t="shared" si="66"/>
        <v>1</v>
      </c>
      <c r="J87" s="9"/>
      <c r="K87" s="114" t="str">
        <f t="shared" si="6"/>
        <v>R- used heavily in 7th
A- 3-5 questions on ACT Aspire
L- intrepreting or predicting science results, real-world problems</v>
      </c>
      <c r="L87" s="171" t="b">
        <v>0</v>
      </c>
      <c r="M87" s="9" t="str">
        <f t="shared" ref="M87:U87" si="67">if($L87=TRUE,C87,"")</f>
        <v/>
      </c>
      <c r="N87" s="9" t="str">
        <f t="shared" si="67"/>
        <v/>
      </c>
      <c r="O87" s="9" t="str">
        <f t="shared" si="67"/>
        <v/>
      </c>
      <c r="P87" s="9" t="str">
        <f t="shared" si="67"/>
        <v/>
      </c>
      <c r="Q87" s="9" t="str">
        <f t="shared" si="67"/>
        <v/>
      </c>
      <c r="R87" s="9" t="str">
        <f t="shared" si="67"/>
        <v/>
      </c>
      <c r="S87" s="9" t="str">
        <f t="shared" si="67"/>
        <v/>
      </c>
      <c r="T87" s="9" t="str">
        <f t="shared" si="67"/>
        <v/>
      </c>
      <c r="U87" s="9" t="str">
        <f t="shared" si="67"/>
        <v/>
      </c>
    </row>
    <row r="88">
      <c r="A88" s="47"/>
      <c r="B88" s="47"/>
      <c r="C88" s="42">
        <f t="shared" si="4"/>
        <v>4</v>
      </c>
      <c r="D88" s="9" t="str">
        <f t="shared" ref="D88:I88" si="68">if($C37&gt;$C$54,D37,"")</f>
        <v>6.RP.A.2</v>
      </c>
      <c r="E88" s="87" t="str">
        <f t="shared" si="68"/>
        <v>Understand the concept of a unit rate a/b associated with a ratio a:b with b ≠ 0, and use rate language in the context of a ratio relationship. For example, “This recipe has a ratio of 3 cups of flour to 4 cups of sugar, so there is 3/4 cup of flour for each cup of sugar.” “We paid $75 for 15 hamburgers, which is a rate of $5 per hamburger.”</v>
      </c>
      <c r="F88" s="115" t="b">
        <f t="shared" si="68"/>
        <v>1</v>
      </c>
      <c r="G88" s="115" t="b">
        <f t="shared" si="68"/>
        <v>1</v>
      </c>
      <c r="H88" s="115" t="b">
        <f t="shared" si="68"/>
        <v>1</v>
      </c>
      <c r="I88" s="115" t="b">
        <f t="shared" si="68"/>
        <v>1</v>
      </c>
      <c r="J88" s="9"/>
      <c r="K88" s="114" t="str">
        <f t="shared" si="6"/>
        <v>R- used heavily in 7th
E- ties into EE skills when finding unknowns
A- 3-5 questions on ACT Aspire
L- intrepreting or predicting science results, real world problems</v>
      </c>
      <c r="L88" s="171" t="b">
        <v>0</v>
      </c>
      <c r="M88" s="9" t="str">
        <f t="shared" ref="M88:U88" si="69">if($L88=TRUE,C88,"")</f>
        <v/>
      </c>
      <c r="N88" s="9" t="str">
        <f t="shared" si="69"/>
        <v/>
      </c>
      <c r="O88" s="9" t="str">
        <f t="shared" si="69"/>
        <v/>
      </c>
      <c r="P88" s="9" t="str">
        <f t="shared" si="69"/>
        <v/>
      </c>
      <c r="Q88" s="9" t="str">
        <f t="shared" si="69"/>
        <v/>
      </c>
      <c r="R88" s="9" t="str">
        <f t="shared" si="69"/>
        <v/>
      </c>
      <c r="S88" s="9" t="str">
        <f t="shared" si="69"/>
        <v/>
      </c>
      <c r="T88" s="9" t="str">
        <f t="shared" si="69"/>
        <v/>
      </c>
      <c r="U88" s="9" t="str">
        <f t="shared" si="69"/>
        <v/>
      </c>
    </row>
    <row r="89">
      <c r="A89" s="47"/>
      <c r="B89" s="47"/>
      <c r="C89" s="42">
        <f t="shared" si="4"/>
        <v>4</v>
      </c>
      <c r="D89" s="9" t="str">
        <f t="shared" ref="D89:I89" si="70">if($C38&gt;$C$54,D38,"")</f>
        <v>6.RP.A.3</v>
      </c>
      <c r="E89" s="87" t="str">
        <f t="shared" si="70"/>
        <v>Use ratio and rate reasoning to solve real-world and mathematical problems, e.g., by reasoning about tables of equivalent ratios, tape diagrams, double number line diagrams, or equations.</v>
      </c>
      <c r="F89" s="115" t="b">
        <f t="shared" si="70"/>
        <v>1</v>
      </c>
      <c r="G89" s="115" t="b">
        <f t="shared" si="70"/>
        <v>1</v>
      </c>
      <c r="H89" s="115" t="b">
        <f t="shared" si="70"/>
        <v>1</v>
      </c>
      <c r="I89" s="115" t="b">
        <f t="shared" si="70"/>
        <v>1</v>
      </c>
      <c r="J89" s="9"/>
      <c r="K89" s="114" t="str">
        <f t="shared" si="6"/>
        <v>R- used heavily in 7th
E- ties into EE skills when finding unknowns
A- 3-5 questions on ACT Aspire
L- intrepreting or predicting science results, real world problems</v>
      </c>
      <c r="L89" s="169" t="b">
        <v>1</v>
      </c>
      <c r="M89" s="9">
        <f t="shared" ref="M89:U89" si="71">if($L89=TRUE,C89,"")</f>
        <v>4</v>
      </c>
      <c r="N89" s="9" t="str">
        <f t="shared" si="71"/>
        <v>6.RP.A.3</v>
      </c>
      <c r="O89" s="9" t="str">
        <f t="shared" si="71"/>
        <v>Use ratio and rate reasoning to solve real-world and mathematical problems, e.g., by reasoning about tables of equivalent ratios, tape diagrams, double number line diagrams, or equations.</v>
      </c>
      <c r="P89" s="9" t="b">
        <f t="shared" si="71"/>
        <v>1</v>
      </c>
      <c r="Q89" s="9" t="b">
        <f t="shared" si="71"/>
        <v>1</v>
      </c>
      <c r="R89" s="9" t="b">
        <f t="shared" si="71"/>
        <v>1</v>
      </c>
      <c r="S89" s="9" t="b">
        <f t="shared" si="71"/>
        <v>1</v>
      </c>
      <c r="T89" s="9" t="str">
        <f t="shared" si="71"/>
        <v/>
      </c>
      <c r="U89" s="9" t="str">
        <f t="shared" si="71"/>
        <v>R- used heavily in 7th
E- ties into EE skills when finding unknowns
A- 3-5 questions on ACT Aspire
L- intrepreting or predicting science results, real world problems</v>
      </c>
    </row>
    <row r="90">
      <c r="A90" s="47"/>
      <c r="B90" s="47"/>
      <c r="C90" s="42">
        <f t="shared" si="4"/>
        <v>4</v>
      </c>
      <c r="D90" s="9" t="str">
        <f t="shared" ref="D90:I90" si="72">if($C39&gt;$C$54,D39,"")</f>
        <v>6.RP.A.3a</v>
      </c>
      <c r="E90" s="87" t="str">
        <f t="shared" si="72"/>
        <v>Make tables of equivalent ratios relating quantities with whole-number measurements, find missing values in the tables, and plot the pairs of values on the coordinate plane. Use tables to compare ratios</v>
      </c>
      <c r="F90" s="115" t="b">
        <f t="shared" si="72"/>
        <v>1</v>
      </c>
      <c r="G90" s="115" t="b">
        <f t="shared" si="72"/>
        <v>1</v>
      </c>
      <c r="H90" s="115" t="b">
        <f t="shared" si="72"/>
        <v>1</v>
      </c>
      <c r="I90" s="115" t="b">
        <f t="shared" si="72"/>
        <v>1</v>
      </c>
      <c r="J90" s="9"/>
      <c r="K90" s="114" t="str">
        <f t="shared" si="6"/>
        <v>R- used heavily in 7th
E- ties into EE skills when finding unknowns
A- 3-5 questions on ACT Aspire
L- intrepreting or predicting science results, real world problems</v>
      </c>
      <c r="L90" s="171" t="b">
        <v>0</v>
      </c>
      <c r="M90" s="9" t="str">
        <f t="shared" ref="M90:U90" si="73">if($L90=TRUE,C90,"")</f>
        <v/>
      </c>
      <c r="N90" s="9" t="str">
        <f t="shared" si="73"/>
        <v/>
      </c>
      <c r="O90" s="9" t="str">
        <f t="shared" si="73"/>
        <v/>
      </c>
      <c r="P90" s="9" t="str">
        <f t="shared" si="73"/>
        <v/>
      </c>
      <c r="Q90" s="9" t="str">
        <f t="shared" si="73"/>
        <v/>
      </c>
      <c r="R90" s="9" t="str">
        <f t="shared" si="73"/>
        <v/>
      </c>
      <c r="S90" s="9" t="str">
        <f t="shared" si="73"/>
        <v/>
      </c>
      <c r="T90" s="9" t="str">
        <f t="shared" si="73"/>
        <v/>
      </c>
      <c r="U90" s="9" t="str">
        <f t="shared" si="73"/>
        <v/>
      </c>
    </row>
    <row r="91">
      <c r="A91" s="47"/>
      <c r="B91" s="47"/>
      <c r="C91" s="42">
        <f t="shared" si="4"/>
        <v>4</v>
      </c>
      <c r="D91" s="9" t="str">
        <f t="shared" ref="D91:I91" si="74">if($C40&gt;$C$54,D40,"")</f>
        <v>6.RP.A.3b</v>
      </c>
      <c r="E91" s="87" t="str">
        <f t="shared" si="74"/>
        <v>Solve unit rate problems including those involving unit pricing and constant speed. For example, if it took 7 hours to mow 4 lawns, then at that rate, how many lawns could be mowed in 35 hours? At what rate were lawns being mowed?</v>
      </c>
      <c r="F91" s="115" t="b">
        <f t="shared" si="74"/>
        <v>1</v>
      </c>
      <c r="G91" s="115" t="b">
        <f t="shared" si="74"/>
        <v>1</v>
      </c>
      <c r="H91" s="115" t="b">
        <f t="shared" si="74"/>
        <v>1</v>
      </c>
      <c r="I91" s="115" t="b">
        <f t="shared" si="74"/>
        <v>1</v>
      </c>
      <c r="J91" s="9"/>
      <c r="K91" s="114" t="str">
        <f t="shared" si="6"/>
        <v>R- used heavily in 7th
E- ties into EE skills when finding unknowns
A- 3-5 questions on ACT Aspire
L- intrepreting or predicting science results, real world problems</v>
      </c>
      <c r="L91" s="169" t="b">
        <v>0</v>
      </c>
      <c r="M91" s="9" t="str">
        <f t="shared" ref="M91:U91" si="75">if($L91=TRUE,C91,"")</f>
        <v/>
      </c>
      <c r="N91" s="9" t="str">
        <f t="shared" si="75"/>
        <v/>
      </c>
      <c r="O91" s="9" t="str">
        <f t="shared" si="75"/>
        <v/>
      </c>
      <c r="P91" s="9" t="str">
        <f t="shared" si="75"/>
        <v/>
      </c>
      <c r="Q91" s="9" t="str">
        <f t="shared" si="75"/>
        <v/>
      </c>
      <c r="R91" s="9" t="str">
        <f t="shared" si="75"/>
        <v/>
      </c>
      <c r="S91" s="9" t="str">
        <f t="shared" si="75"/>
        <v/>
      </c>
      <c r="T91" s="9" t="str">
        <f t="shared" si="75"/>
        <v/>
      </c>
      <c r="U91" s="9" t="str">
        <f t="shared" si="75"/>
        <v/>
      </c>
    </row>
    <row r="92">
      <c r="A92" s="47"/>
      <c r="B92" s="47"/>
      <c r="C92" s="42">
        <f t="shared" si="4"/>
        <v>3</v>
      </c>
      <c r="D92" s="9" t="str">
        <f t="shared" ref="D92:I92" si="76">if($C41&gt;$C$54,D41,"")</f>
        <v>6.RP.A.3c</v>
      </c>
      <c r="E92" s="87" t="str">
        <f t="shared" si="76"/>
        <v>Find a percent of a quantity as a rate per 100 (e.g., 30% of a quantity means 30/100 times the quantity); solve problems involving finding the whole, given a part and the percent.</v>
      </c>
      <c r="F92" s="115" t="b">
        <f t="shared" si="76"/>
        <v>1</v>
      </c>
      <c r="G92" s="115" t="b">
        <f t="shared" si="76"/>
        <v>0</v>
      </c>
      <c r="H92" s="115" t="b">
        <f t="shared" si="76"/>
        <v>1</v>
      </c>
      <c r="I92" s="115" t="b">
        <f t="shared" si="76"/>
        <v>1</v>
      </c>
      <c r="J92" s="9"/>
      <c r="K92" s="114" t="str">
        <f t="shared" si="6"/>
        <v>R- used  7th
A- 3-5 questions on ACT Aspire
L- intrepreting or predicting science results, real world problems</v>
      </c>
      <c r="L92" s="169" t="b">
        <v>1</v>
      </c>
      <c r="M92" s="9">
        <f t="shared" ref="M92:U92" si="77">if($L92=TRUE,C92,"")</f>
        <v>3</v>
      </c>
      <c r="N92" s="9" t="str">
        <f t="shared" si="77"/>
        <v>6.RP.A.3c</v>
      </c>
      <c r="O92" s="9" t="str">
        <f t="shared" si="77"/>
        <v>Find a percent of a quantity as a rate per 100 (e.g., 30% of a quantity means 30/100 times the quantity); solve problems involving finding the whole, given a part and the percent.</v>
      </c>
      <c r="P92" s="9" t="b">
        <f t="shared" si="77"/>
        <v>1</v>
      </c>
      <c r="Q92" s="9" t="b">
        <f t="shared" si="77"/>
        <v>0</v>
      </c>
      <c r="R92" s="9" t="b">
        <f t="shared" si="77"/>
        <v>1</v>
      </c>
      <c r="S92" s="9" t="b">
        <f t="shared" si="77"/>
        <v>1</v>
      </c>
      <c r="T92" s="9" t="str">
        <f t="shared" si="77"/>
        <v/>
      </c>
      <c r="U92" s="9" t="str">
        <f t="shared" si="77"/>
        <v>R- used  7th
A- 3-5 questions on ACT Aspire
L- intrepreting or predicting science results, real world problems</v>
      </c>
    </row>
    <row r="93">
      <c r="A93" s="50"/>
      <c r="B93" s="50"/>
      <c r="C93" s="35">
        <f t="shared" si="4"/>
        <v>3</v>
      </c>
      <c r="D93" s="9" t="str">
        <f t="shared" ref="D93:I93" si="78">if($C42&gt;$C$54,D42,"")</f>
        <v>6.RP.A.3d</v>
      </c>
      <c r="E93" s="87" t="str">
        <f t="shared" si="78"/>
        <v>Use ratio reasoning to convert measurement units; manipulate and transform units appropriately when multiplying or dividing quantities.</v>
      </c>
      <c r="F93" s="115" t="b">
        <f t="shared" si="78"/>
        <v>1</v>
      </c>
      <c r="G93" s="115" t="b">
        <f t="shared" si="78"/>
        <v>0</v>
      </c>
      <c r="H93" s="115" t="b">
        <f t="shared" si="78"/>
        <v>1</v>
      </c>
      <c r="I93" s="115" t="b">
        <f t="shared" si="78"/>
        <v>1</v>
      </c>
      <c r="J93" s="9"/>
      <c r="K93" s="114" t="str">
        <f t="shared" si="6"/>
        <v>R- used heavily in 7th
E- ties into EE skills when finding unknowns
A- 3-5 questions on ACT Aspire
L- needed in science and real world problems</v>
      </c>
      <c r="L93" s="171" t="b">
        <v>0</v>
      </c>
      <c r="M93" s="9" t="str">
        <f t="shared" ref="M93:U93" si="79">if($L93=TRUE,C93,"")</f>
        <v/>
      </c>
      <c r="N93" s="9" t="str">
        <f t="shared" si="79"/>
        <v/>
      </c>
      <c r="O93" s="9" t="str">
        <f t="shared" si="79"/>
        <v/>
      </c>
      <c r="P93" s="9" t="str">
        <f t="shared" si="79"/>
        <v/>
      </c>
      <c r="Q93" s="9" t="str">
        <f t="shared" si="79"/>
        <v/>
      </c>
      <c r="R93" s="9" t="str">
        <f t="shared" si="79"/>
        <v/>
      </c>
      <c r="S93" s="9" t="str">
        <f t="shared" si="79"/>
        <v/>
      </c>
      <c r="T93" s="9" t="str">
        <f t="shared" si="79"/>
        <v/>
      </c>
      <c r="U93" s="9" t="str">
        <f t="shared" si="79"/>
        <v/>
      </c>
    </row>
    <row r="94">
      <c r="A94" s="184" t="s">
        <v>686</v>
      </c>
      <c r="B94" s="162" t="s">
        <v>688</v>
      </c>
      <c r="C94" s="42">
        <f t="shared" si="4"/>
        <v>3</v>
      </c>
      <c r="D94" s="9" t="str">
        <f t="shared" ref="D94:I94" si="80">if($C43&gt;$C$54,D43,"")</f>
        <v>6.SP.A.1</v>
      </c>
      <c r="E94" s="87" t="str">
        <f t="shared" si="80"/>
        <v>Recognize a statistical question as one that anticipates variability in the data related to the question and accounts for it in the answers. For example, “How old am I?” is not a statistical question, but “How old are the students in my school?” is a statistical question because one anticipates variability in students’ ages.</v>
      </c>
      <c r="F94" s="115" t="b">
        <f t="shared" si="80"/>
        <v>0</v>
      </c>
      <c r="G94" s="115" t="b">
        <f t="shared" si="80"/>
        <v>1</v>
      </c>
      <c r="H94" s="115" t="b">
        <f t="shared" si="80"/>
        <v>1</v>
      </c>
      <c r="I94" s="115" t="b">
        <f t="shared" si="80"/>
        <v>1</v>
      </c>
      <c r="J94" s="9"/>
      <c r="K94" s="114" t="str">
        <f t="shared" si="6"/>
        <v>A-3-5 questions on ACT Aspire
L- helps when designing experiments</v>
      </c>
      <c r="L94" s="171" t="b">
        <v>0</v>
      </c>
      <c r="M94" s="9" t="str">
        <f t="shared" ref="M94:U94" si="81">if($L94=TRUE,C94,"")</f>
        <v/>
      </c>
      <c r="N94" s="9" t="str">
        <f t="shared" si="81"/>
        <v/>
      </c>
      <c r="O94" s="9" t="str">
        <f t="shared" si="81"/>
        <v/>
      </c>
      <c r="P94" s="9" t="str">
        <f t="shared" si="81"/>
        <v/>
      </c>
      <c r="Q94" s="9" t="str">
        <f t="shared" si="81"/>
        <v/>
      </c>
      <c r="R94" s="9" t="str">
        <f t="shared" si="81"/>
        <v/>
      </c>
      <c r="S94" s="9" t="str">
        <f t="shared" si="81"/>
        <v/>
      </c>
      <c r="T94" s="9" t="str">
        <f t="shared" si="81"/>
        <v/>
      </c>
      <c r="U94" s="9" t="str">
        <f t="shared" si="81"/>
        <v/>
      </c>
    </row>
    <row r="95">
      <c r="A95" s="47"/>
      <c r="B95" s="47"/>
      <c r="C95" s="42">
        <f t="shared" si="4"/>
        <v>0</v>
      </c>
      <c r="D95" s="9" t="str">
        <f t="shared" ref="D95:I95" si="82">if($C44&gt;$C$54,D44,"")</f>
        <v/>
      </c>
      <c r="E95" s="87" t="str">
        <f t="shared" si="82"/>
        <v/>
      </c>
      <c r="F95" s="115" t="str">
        <f t="shared" si="82"/>
        <v/>
      </c>
      <c r="G95" s="115" t="str">
        <f t="shared" si="82"/>
        <v/>
      </c>
      <c r="H95" s="115" t="str">
        <f t="shared" si="82"/>
        <v/>
      </c>
      <c r="I95" s="115" t="str">
        <f t="shared" si="82"/>
        <v/>
      </c>
      <c r="J95" s="9"/>
      <c r="K95" s="114" t="str">
        <f t="shared" si="6"/>
        <v/>
      </c>
      <c r="L95" s="171" t="b">
        <v>0</v>
      </c>
      <c r="M95" s="9" t="str">
        <f t="shared" ref="M95:U95" si="83">if($L95=TRUE,C95,"")</f>
        <v/>
      </c>
      <c r="N95" s="9" t="str">
        <f t="shared" si="83"/>
        <v/>
      </c>
      <c r="O95" s="9" t="str">
        <f t="shared" si="83"/>
        <v/>
      </c>
      <c r="P95" s="9" t="str">
        <f t="shared" si="83"/>
        <v/>
      </c>
      <c r="Q95" s="9" t="str">
        <f t="shared" si="83"/>
        <v/>
      </c>
      <c r="R95" s="9" t="str">
        <f t="shared" si="83"/>
        <v/>
      </c>
      <c r="S95" s="9" t="str">
        <f t="shared" si="83"/>
        <v/>
      </c>
      <c r="T95" s="9" t="str">
        <f t="shared" si="83"/>
        <v/>
      </c>
      <c r="U95" s="9" t="str">
        <f t="shared" si="83"/>
        <v/>
      </c>
    </row>
    <row r="96">
      <c r="A96" s="47"/>
      <c r="B96" s="50"/>
      <c r="C96" s="35">
        <f t="shared" si="4"/>
        <v>3</v>
      </c>
      <c r="D96" s="9" t="str">
        <f t="shared" ref="D96:I96" si="84">if($C45&gt;$C$54,D45,"")</f>
        <v>6.SP.A.3</v>
      </c>
      <c r="E96" s="87" t="str">
        <f t="shared" si="84"/>
        <v>Recognize that a measure of center for a numerical data set summarizes all of its values with a single number, while a measure of variation describes how its values vary with a single number.</v>
      </c>
      <c r="F96" s="115" t="b">
        <f t="shared" si="84"/>
        <v>0</v>
      </c>
      <c r="G96" s="115" t="b">
        <f t="shared" si="84"/>
        <v>1</v>
      </c>
      <c r="H96" s="115" t="b">
        <f t="shared" si="84"/>
        <v>1</v>
      </c>
      <c r="I96" s="115" t="b">
        <f t="shared" si="84"/>
        <v>1</v>
      </c>
      <c r="J96" s="9"/>
      <c r="K96" s="114" t="str">
        <f t="shared" si="6"/>
        <v>E-
A-3-5 questions on ACT Aspire</v>
      </c>
      <c r="L96" s="169" t="b">
        <v>1</v>
      </c>
      <c r="M96" s="9">
        <f t="shared" ref="M96:U96" si="85">if($L96=TRUE,C96,"")</f>
        <v>3</v>
      </c>
      <c r="N96" s="9" t="str">
        <f t="shared" si="85"/>
        <v>6.SP.A.3</v>
      </c>
      <c r="O96" s="9" t="str">
        <f t="shared" si="85"/>
        <v>Recognize that a measure of center for a numerical data set summarizes all of its values with a single number, while a measure of variation describes how its values vary with a single number.</v>
      </c>
      <c r="P96" s="9" t="b">
        <f t="shared" si="85"/>
        <v>0</v>
      </c>
      <c r="Q96" s="9" t="b">
        <f t="shared" si="85"/>
        <v>1</v>
      </c>
      <c r="R96" s="9" t="b">
        <f t="shared" si="85"/>
        <v>1</v>
      </c>
      <c r="S96" s="9" t="b">
        <f t="shared" si="85"/>
        <v>1</v>
      </c>
      <c r="T96" s="9" t="str">
        <f t="shared" si="85"/>
        <v/>
      </c>
      <c r="U96" s="9" t="str">
        <f t="shared" si="85"/>
        <v>E-
A-3-5 questions on ACT Aspire</v>
      </c>
    </row>
    <row r="97">
      <c r="A97" s="47"/>
      <c r="B97" s="164" t="s">
        <v>699</v>
      </c>
      <c r="C97" s="42">
        <f t="shared" si="4"/>
        <v>0</v>
      </c>
      <c r="D97" s="9" t="str">
        <f t="shared" ref="D97:I97" si="86">if($C46&gt;$C$54,D46,"")</f>
        <v/>
      </c>
      <c r="E97" s="87" t="str">
        <f t="shared" si="86"/>
        <v/>
      </c>
      <c r="F97" s="115" t="str">
        <f t="shared" si="86"/>
        <v/>
      </c>
      <c r="G97" s="115" t="str">
        <f t="shared" si="86"/>
        <v/>
      </c>
      <c r="H97" s="115" t="str">
        <f t="shared" si="86"/>
        <v/>
      </c>
      <c r="I97" s="115" t="str">
        <f t="shared" si="86"/>
        <v/>
      </c>
      <c r="J97" s="9"/>
      <c r="K97" s="114" t="str">
        <f t="shared" si="6"/>
        <v/>
      </c>
      <c r="L97" s="171" t="b">
        <v>0</v>
      </c>
      <c r="M97" s="9" t="str">
        <f t="shared" ref="M97:U97" si="87">if($L97=TRUE,C97,"")</f>
        <v/>
      </c>
      <c r="N97" s="9" t="str">
        <f t="shared" si="87"/>
        <v/>
      </c>
      <c r="O97" s="9" t="str">
        <f t="shared" si="87"/>
        <v/>
      </c>
      <c r="P97" s="9" t="str">
        <f t="shared" si="87"/>
        <v/>
      </c>
      <c r="Q97" s="9" t="str">
        <f t="shared" si="87"/>
        <v/>
      </c>
      <c r="R97" s="9" t="str">
        <f t="shared" si="87"/>
        <v/>
      </c>
      <c r="S97" s="9" t="str">
        <f t="shared" si="87"/>
        <v/>
      </c>
      <c r="T97" s="9" t="str">
        <f t="shared" si="87"/>
        <v/>
      </c>
      <c r="U97" s="9" t="str">
        <f t="shared" si="87"/>
        <v/>
      </c>
    </row>
    <row r="98">
      <c r="A98" s="47"/>
      <c r="B98" s="47"/>
      <c r="C98" s="42">
        <f t="shared" si="4"/>
        <v>0</v>
      </c>
      <c r="D98" s="9" t="str">
        <f t="shared" ref="D98:I98" si="88">if($C47&gt;$C$54,D47,"")</f>
        <v/>
      </c>
      <c r="E98" s="87" t="str">
        <f t="shared" si="88"/>
        <v/>
      </c>
      <c r="F98" s="115" t="str">
        <f t="shared" si="88"/>
        <v/>
      </c>
      <c r="G98" s="115" t="str">
        <f t="shared" si="88"/>
        <v/>
      </c>
      <c r="H98" s="115" t="str">
        <f t="shared" si="88"/>
        <v/>
      </c>
      <c r="I98" s="115" t="str">
        <f t="shared" si="88"/>
        <v/>
      </c>
      <c r="J98" s="9"/>
      <c r="K98" s="114" t="str">
        <f t="shared" si="6"/>
        <v/>
      </c>
      <c r="L98" s="169" t="b">
        <v>0</v>
      </c>
      <c r="M98" s="9" t="str">
        <f t="shared" ref="M98:U98" si="89">if($L98=TRUE,C98,"")</f>
        <v/>
      </c>
      <c r="N98" s="9" t="str">
        <f t="shared" si="89"/>
        <v/>
      </c>
      <c r="O98" s="9" t="str">
        <f t="shared" si="89"/>
        <v/>
      </c>
      <c r="P98" s="9" t="str">
        <f t="shared" si="89"/>
        <v/>
      </c>
      <c r="Q98" s="9" t="str">
        <f t="shared" si="89"/>
        <v/>
      </c>
      <c r="R98" s="9" t="str">
        <f t="shared" si="89"/>
        <v/>
      </c>
      <c r="S98" s="9" t="str">
        <f t="shared" si="89"/>
        <v/>
      </c>
      <c r="T98" s="9" t="str">
        <f t="shared" si="89"/>
        <v/>
      </c>
      <c r="U98" s="9" t="str">
        <f t="shared" si="89"/>
        <v/>
      </c>
    </row>
    <row r="99">
      <c r="A99" s="47"/>
      <c r="B99" s="47"/>
      <c r="C99" s="42">
        <f t="shared" si="4"/>
        <v>0</v>
      </c>
      <c r="D99" s="9" t="str">
        <f t="shared" ref="D99:I99" si="90">if($C48&gt;$C$54,D48,"")</f>
        <v/>
      </c>
      <c r="E99" s="87" t="str">
        <f t="shared" si="90"/>
        <v/>
      </c>
      <c r="F99" s="115" t="str">
        <f t="shared" si="90"/>
        <v/>
      </c>
      <c r="G99" s="115" t="str">
        <f t="shared" si="90"/>
        <v/>
      </c>
      <c r="H99" s="115" t="str">
        <f t="shared" si="90"/>
        <v/>
      </c>
      <c r="I99" s="115" t="str">
        <f t="shared" si="90"/>
        <v/>
      </c>
      <c r="J99" s="9"/>
      <c r="K99" s="114" t="str">
        <f t="shared" si="6"/>
        <v/>
      </c>
      <c r="L99" s="171" t="b">
        <v>0</v>
      </c>
      <c r="M99" s="9" t="str">
        <f t="shared" ref="M99:U99" si="91">if($L99=TRUE,C99,"")</f>
        <v/>
      </c>
      <c r="N99" s="9" t="str">
        <f t="shared" si="91"/>
        <v/>
      </c>
      <c r="O99" s="9" t="str">
        <f t="shared" si="91"/>
        <v/>
      </c>
      <c r="P99" s="9" t="str">
        <f t="shared" si="91"/>
        <v/>
      </c>
      <c r="Q99" s="9" t="str">
        <f t="shared" si="91"/>
        <v/>
      </c>
      <c r="R99" s="9" t="str">
        <f t="shared" si="91"/>
        <v/>
      </c>
      <c r="S99" s="9" t="str">
        <f t="shared" si="91"/>
        <v/>
      </c>
      <c r="T99" s="9" t="str">
        <f t="shared" si="91"/>
        <v/>
      </c>
      <c r="U99" s="9" t="str">
        <f t="shared" si="91"/>
        <v/>
      </c>
    </row>
    <row r="100">
      <c r="A100" s="47"/>
      <c r="B100" s="47"/>
      <c r="C100" s="42">
        <f t="shared" si="4"/>
        <v>0</v>
      </c>
      <c r="D100" s="9" t="str">
        <f t="shared" ref="D100:I100" si="92">if($C49&gt;$C$54,D49,"")</f>
        <v/>
      </c>
      <c r="E100" s="87" t="str">
        <f t="shared" si="92"/>
        <v/>
      </c>
      <c r="F100" s="115" t="str">
        <f t="shared" si="92"/>
        <v/>
      </c>
      <c r="G100" s="115" t="str">
        <f t="shared" si="92"/>
        <v/>
      </c>
      <c r="H100" s="115" t="str">
        <f t="shared" si="92"/>
        <v/>
      </c>
      <c r="I100" s="115" t="str">
        <f t="shared" si="92"/>
        <v/>
      </c>
      <c r="J100" s="9"/>
      <c r="K100" s="114" t="str">
        <f t="shared" si="6"/>
        <v/>
      </c>
      <c r="L100" s="171" t="b">
        <v>0</v>
      </c>
      <c r="M100" s="9" t="str">
        <f t="shared" ref="M100:U100" si="93">if($L100=TRUE,C100,"")</f>
        <v/>
      </c>
      <c r="N100" s="9" t="str">
        <f t="shared" si="93"/>
        <v/>
      </c>
      <c r="O100" s="9" t="str">
        <f t="shared" si="93"/>
        <v/>
      </c>
      <c r="P100" s="9" t="str">
        <f t="shared" si="93"/>
        <v/>
      </c>
      <c r="Q100" s="9" t="str">
        <f t="shared" si="93"/>
        <v/>
      </c>
      <c r="R100" s="9" t="str">
        <f t="shared" si="93"/>
        <v/>
      </c>
      <c r="S100" s="9" t="str">
        <f t="shared" si="93"/>
        <v/>
      </c>
      <c r="T100" s="9" t="str">
        <f t="shared" si="93"/>
        <v/>
      </c>
      <c r="U100" s="9" t="str">
        <f t="shared" si="93"/>
        <v/>
      </c>
    </row>
    <row r="101">
      <c r="A101" s="47"/>
      <c r="B101" s="47"/>
      <c r="C101" s="42">
        <f t="shared" si="4"/>
        <v>0</v>
      </c>
      <c r="D101" s="9" t="str">
        <f t="shared" ref="D101:I101" si="94">if($C50&gt;$C$54,D50,"")</f>
        <v/>
      </c>
      <c r="E101" s="87" t="str">
        <f t="shared" si="94"/>
        <v/>
      </c>
      <c r="F101" s="115" t="str">
        <f t="shared" si="94"/>
        <v/>
      </c>
      <c r="G101" s="115" t="str">
        <f t="shared" si="94"/>
        <v/>
      </c>
      <c r="H101" s="115" t="str">
        <f t="shared" si="94"/>
        <v/>
      </c>
      <c r="I101" s="115" t="str">
        <f t="shared" si="94"/>
        <v/>
      </c>
      <c r="J101" s="9"/>
      <c r="K101" s="114" t="str">
        <f t="shared" si="6"/>
        <v/>
      </c>
      <c r="L101" s="171" t="b">
        <v>0</v>
      </c>
      <c r="M101" s="9" t="str">
        <f t="shared" ref="M101:U101" si="95">if($L101=TRUE,C101,"")</f>
        <v/>
      </c>
      <c r="N101" s="9" t="str">
        <f t="shared" si="95"/>
        <v/>
      </c>
      <c r="O101" s="9" t="str">
        <f t="shared" si="95"/>
        <v/>
      </c>
      <c r="P101" s="9" t="str">
        <f t="shared" si="95"/>
        <v/>
      </c>
      <c r="Q101" s="9" t="str">
        <f t="shared" si="95"/>
        <v/>
      </c>
      <c r="R101" s="9" t="str">
        <f t="shared" si="95"/>
        <v/>
      </c>
      <c r="S101" s="9" t="str">
        <f t="shared" si="95"/>
        <v/>
      </c>
      <c r="T101" s="9" t="str">
        <f t="shared" si="95"/>
        <v/>
      </c>
      <c r="U101" s="9" t="str">
        <f t="shared" si="95"/>
        <v/>
      </c>
    </row>
    <row r="102">
      <c r="A102" s="50"/>
      <c r="B102" s="50"/>
      <c r="C102" s="42">
        <f t="shared" si="4"/>
        <v>3</v>
      </c>
      <c r="D102" s="9" t="str">
        <f t="shared" ref="D102:I102" si="96">if($C51&gt;$C$54,D51,"")</f>
        <v>6.SP.B.5d</v>
      </c>
      <c r="E102" s="87" t="str">
        <f t="shared" si="96"/>
        <v>Relating the choice of measures of center and variability to the shape of the data distribution and the context in which the data were gathered.</v>
      </c>
      <c r="F102" s="115" t="b">
        <f t="shared" si="96"/>
        <v>0</v>
      </c>
      <c r="G102" s="115" t="b">
        <f t="shared" si="96"/>
        <v>1</v>
      </c>
      <c r="H102" s="115" t="b">
        <f t="shared" si="96"/>
        <v>1</v>
      </c>
      <c r="I102" s="115" t="b">
        <f t="shared" si="96"/>
        <v>1</v>
      </c>
      <c r="J102" s="9"/>
      <c r="K102" s="114" t="str">
        <f t="shared" si="6"/>
        <v>R-
E-
A- 3-5 questions on ACT
L- understanding graphs and charts</v>
      </c>
      <c r="L102" s="169" t="b">
        <v>1</v>
      </c>
      <c r="M102" s="9">
        <f t="shared" ref="M102:U102" si="97">if($L102=TRUE,C102,"")</f>
        <v>3</v>
      </c>
      <c r="N102" s="9" t="str">
        <f t="shared" si="97"/>
        <v>6.SP.B.5d</v>
      </c>
      <c r="O102" s="9" t="str">
        <f t="shared" si="97"/>
        <v>Relating the choice of measures of center and variability to the shape of the data distribution and the context in which the data were gathered.</v>
      </c>
      <c r="P102" s="9" t="b">
        <f t="shared" si="97"/>
        <v>0</v>
      </c>
      <c r="Q102" s="9" t="b">
        <f t="shared" si="97"/>
        <v>1</v>
      </c>
      <c r="R102" s="9" t="b">
        <f t="shared" si="97"/>
        <v>1</v>
      </c>
      <c r="S102" s="9" t="b">
        <f t="shared" si="97"/>
        <v>1</v>
      </c>
      <c r="T102" s="9" t="str">
        <f t="shared" si="97"/>
        <v/>
      </c>
      <c r="U102" s="9" t="str">
        <f t="shared" si="97"/>
        <v>R-
E-
A- 3-5 questions on ACT
L- understanding graphs and charts</v>
      </c>
    </row>
  </sheetData>
  <mergeCells count="34">
    <mergeCell ref="A2:B2"/>
    <mergeCell ref="C2:K2"/>
    <mergeCell ref="A3:K3"/>
    <mergeCell ref="A4:B4"/>
    <mergeCell ref="A5:A19"/>
    <mergeCell ref="B6:B8"/>
    <mergeCell ref="A20:A31"/>
    <mergeCell ref="B27:B30"/>
    <mergeCell ref="B43:B45"/>
    <mergeCell ref="B46:B51"/>
    <mergeCell ref="F53:G53"/>
    <mergeCell ref="B9:B19"/>
    <mergeCell ref="B20:B26"/>
    <mergeCell ref="A32:A35"/>
    <mergeCell ref="B32:B35"/>
    <mergeCell ref="A36:A42"/>
    <mergeCell ref="B36:B42"/>
    <mergeCell ref="A43:A51"/>
    <mergeCell ref="B71:B77"/>
    <mergeCell ref="B78:B81"/>
    <mergeCell ref="A83:A86"/>
    <mergeCell ref="B83:B86"/>
    <mergeCell ref="A87:A93"/>
    <mergeCell ref="B87:B93"/>
    <mergeCell ref="A94:A102"/>
    <mergeCell ref="B94:B96"/>
    <mergeCell ref="B97:B102"/>
    <mergeCell ref="A53:B53"/>
    <mergeCell ref="A54:B54"/>
    <mergeCell ref="A55:B55"/>
    <mergeCell ref="A56:A70"/>
    <mergeCell ref="B57:B59"/>
    <mergeCell ref="B60:B70"/>
    <mergeCell ref="A71:A82"/>
  </mergeCells>
  <conditionalFormatting sqref="D53">
    <cfRule type="expression" dxfId="0" priority="1">
      <formula>D53&lt;=K53</formula>
    </cfRule>
  </conditionalFormatting>
  <conditionalFormatting sqref="D53">
    <cfRule type="expression" dxfId="1" priority="2">
      <formula>D53&gt;K53</formula>
    </cfRule>
  </conditionalFormatting>
  <conditionalFormatting sqref="L56">
    <cfRule type="expression" dxfId="7" priority="3">
      <formula>not</formula>
    </cfRule>
  </conditionalFormatting>
  <conditionalFormatting sqref="F56:I102">
    <cfRule type="cellIs" dxfId="8" priority="4" operator="equal">
      <formula>"TRUE"</formula>
    </cfRule>
  </conditionalFormatting>
  <conditionalFormatting sqref="F56:I102">
    <cfRule type="cellIs" dxfId="9" priority="5" operator="equal">
      <formula>"FALSE"</formula>
    </cfRule>
  </conditionalFormatting>
  <conditionalFormatting sqref="C5:C51 C56:C102">
    <cfRule type="cellIs" dxfId="2" priority="6" operator="equal">
      <formula>0</formula>
    </cfRule>
  </conditionalFormatting>
  <conditionalFormatting sqref="C5:C51 C56:C102">
    <cfRule type="cellIs" dxfId="3" priority="7" operator="equal">
      <formula>1</formula>
    </cfRule>
  </conditionalFormatting>
  <conditionalFormatting sqref="C5:C51 C56:C102">
    <cfRule type="cellIs" dxfId="4" priority="8" operator="equal">
      <formula>2</formula>
    </cfRule>
  </conditionalFormatting>
  <conditionalFormatting sqref="C5:C51 C56:C102">
    <cfRule type="cellIs" dxfId="5" priority="9" operator="equal">
      <formula>3</formula>
    </cfRule>
  </conditionalFormatting>
  <conditionalFormatting sqref="C5:C51 C56:C102">
    <cfRule type="cellIs" dxfId="6" priority="10" operator="equal">
      <formula>4</formula>
    </cfRule>
  </conditionalFormatting>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outlinePr summaryBelow="0" summaryRight="0"/>
  </sheetPr>
  <sheetViews>
    <sheetView workbookViewId="0">
      <pane xSplit="1.0" ySplit="3.0" topLeftCell="B4" activePane="bottomRight" state="frozen"/>
      <selection activeCell="B1" sqref="B1" pane="topRight"/>
      <selection activeCell="A4" sqref="A4" pane="bottomLeft"/>
      <selection activeCell="B4" sqref="B4" pane="bottomRight"/>
    </sheetView>
  </sheetViews>
  <sheetFormatPr customHeight="1" defaultColWidth="14.43" defaultRowHeight="15.75" outlineLevelCol="1"/>
  <cols>
    <col customWidth="1" min="2" max="2" width="4.86"/>
    <col collapsed="1" customWidth="1" min="3" max="3" width="10.86"/>
    <col customWidth="1" hidden="1" min="4" max="4" width="43.0" outlineLevel="1"/>
    <col customWidth="1" hidden="1" min="5" max="8" width="1.57" outlineLevel="1"/>
    <col collapsed="1" customWidth="1" min="9" max="9" width="0.86"/>
    <col customWidth="1" hidden="1" min="10" max="10" width="28.71" outlineLevel="1"/>
    <col customWidth="1" min="11" max="11" width="4.86"/>
    <col collapsed="1" customWidth="1" min="12" max="12" width="10.86"/>
    <col customWidth="1" hidden="1" min="13" max="13" width="28.71" outlineLevel="1"/>
    <col customWidth="1" hidden="1" min="14" max="17" width="1.57" outlineLevel="1"/>
    <col collapsed="1" customWidth="1" min="18" max="18" width="0.86"/>
    <col customWidth="1" hidden="1" min="19" max="19" width="28.71" outlineLevel="1"/>
    <col customWidth="1" min="20" max="20" width="4.86"/>
    <col customWidth="1" min="21" max="21" width="10.86"/>
    <col customWidth="1" min="22" max="22" width="28.71" outlineLevel="1"/>
    <col customWidth="1" min="23" max="26" width="1.57" outlineLevel="1"/>
    <col collapsed="1" customWidth="1" min="27" max="27" width="0.86"/>
    <col customWidth="1" hidden="1" min="28" max="28" width="28.71" outlineLevel="1"/>
    <col customWidth="1" min="29" max="29" width="4.86"/>
    <col customWidth="1" min="30" max="30" width="10.86"/>
    <col customWidth="1" min="31" max="31" width="28.71" outlineLevel="1"/>
    <col customWidth="1" min="32" max="35" width="1.57" outlineLevel="1"/>
    <col collapsed="1" customWidth="1" min="36" max="36" width="0.86"/>
    <col customWidth="1" hidden="1" min="37" max="37" width="28.71" outlineLevel="1"/>
    <col customWidth="1" min="38" max="38" width="4.86"/>
    <col customWidth="1" min="39" max="39" width="10.86"/>
    <col customWidth="1" min="40" max="40" width="28.71" outlineLevel="1"/>
    <col customWidth="1" min="41" max="44" width="1.57" outlineLevel="1"/>
    <col collapsed="1" customWidth="1" min="45" max="45" width="0.86"/>
    <col customWidth="1" hidden="1" min="46" max="46" width="28.71" outlineLevel="1"/>
    <col customWidth="1" min="47" max="47" width="4.86"/>
    <col customWidth="1" min="48" max="48" width="10.86"/>
    <col customWidth="1" min="49" max="49" width="28.71" outlineLevel="1"/>
    <col customWidth="1" min="50" max="53" width="1.57" outlineLevel="1"/>
    <col customWidth="1" min="54" max="54" width="0.86"/>
    <col customWidth="1" min="55" max="55" width="28.71" outlineLevel="1"/>
    <col customWidth="1" min="56" max="56" width="4.86"/>
    <col customWidth="1" min="57" max="57" width="10.86"/>
    <col customWidth="1" min="58" max="58" width="28.71" outlineLevel="1"/>
    <col customWidth="1" min="59" max="62" width="1.57" outlineLevel="1"/>
    <col customWidth="1" min="63" max="63" width="0.86"/>
    <col customWidth="1" min="64" max="64" width="28.71" outlineLevel="1"/>
  </cols>
  <sheetData>
    <row r="1">
      <c r="A1" s="183" t="s">
        <v>687</v>
      </c>
      <c r="B1" s="83"/>
      <c r="C1" s="83"/>
      <c r="D1" s="83"/>
      <c r="E1" s="83"/>
      <c r="F1" s="83"/>
      <c r="G1" s="83"/>
      <c r="H1" s="83"/>
      <c r="I1" s="83"/>
      <c r="J1" s="185"/>
      <c r="K1" s="83"/>
      <c r="L1" s="83"/>
      <c r="M1" s="83"/>
      <c r="N1" s="83"/>
      <c r="O1" s="83"/>
      <c r="P1" s="83"/>
      <c r="Q1" s="83"/>
      <c r="R1" s="83"/>
      <c r="S1" s="83"/>
      <c r="T1" s="187"/>
      <c r="U1" s="83"/>
      <c r="V1" s="83"/>
      <c r="W1" s="83"/>
      <c r="X1" s="83"/>
      <c r="Y1" s="83"/>
      <c r="Z1" s="83"/>
      <c r="AA1" s="189"/>
      <c r="AB1" s="83"/>
      <c r="AC1" s="83"/>
      <c r="AD1" s="83"/>
      <c r="AE1" s="83"/>
      <c r="AF1" s="83"/>
      <c r="AG1" s="83"/>
      <c r="AH1" s="83"/>
      <c r="AI1" s="83"/>
      <c r="AJ1" s="83"/>
      <c r="AK1" s="83"/>
      <c r="AL1" s="191"/>
      <c r="AM1" s="83"/>
      <c r="AN1" s="83"/>
      <c r="AO1" s="83"/>
      <c r="AP1" s="83"/>
      <c r="AQ1" s="83"/>
      <c r="AR1" s="83"/>
      <c r="AS1" s="83"/>
      <c r="AT1" s="83"/>
      <c r="AU1" s="191"/>
      <c r="AV1" s="83"/>
      <c r="AW1" s="83"/>
      <c r="AX1" s="83"/>
      <c r="AY1" s="83"/>
      <c r="AZ1" s="83"/>
      <c r="BA1" s="83"/>
      <c r="BB1" s="83"/>
      <c r="BC1" s="83"/>
      <c r="BD1" s="191"/>
      <c r="BE1" s="83"/>
      <c r="BF1" s="83"/>
      <c r="BG1" s="83"/>
      <c r="BH1" s="83"/>
      <c r="BI1" s="83"/>
      <c r="BJ1" s="83"/>
      <c r="BK1" s="83"/>
      <c r="BL1" s="83"/>
    </row>
    <row r="2">
      <c r="A2" s="192"/>
      <c r="B2" s="193" t="s">
        <v>701</v>
      </c>
      <c r="C2" s="13"/>
      <c r="D2" s="13"/>
      <c r="E2" s="13"/>
      <c r="F2" s="13"/>
      <c r="G2" s="13"/>
      <c r="H2" s="13"/>
      <c r="I2" s="13"/>
      <c r="J2" s="16"/>
      <c r="K2" s="194" t="s">
        <v>706</v>
      </c>
      <c r="L2" s="13"/>
      <c r="M2" s="13"/>
      <c r="N2" s="13"/>
      <c r="O2" s="13"/>
      <c r="P2" s="13"/>
      <c r="Q2" s="13"/>
      <c r="R2" s="13"/>
      <c r="S2" s="16"/>
      <c r="T2" s="193" t="s">
        <v>709</v>
      </c>
      <c r="U2" s="13"/>
      <c r="V2" s="13"/>
      <c r="W2" s="13"/>
      <c r="X2" s="13"/>
      <c r="Y2" s="13"/>
      <c r="Z2" s="13"/>
      <c r="AA2" s="13"/>
      <c r="AB2" s="16"/>
      <c r="AC2" s="194" t="s">
        <v>710</v>
      </c>
      <c r="AD2" s="13"/>
      <c r="AE2" s="13"/>
      <c r="AF2" s="13"/>
      <c r="AG2" s="13"/>
      <c r="AH2" s="13"/>
      <c r="AI2" s="13"/>
      <c r="AJ2" s="13"/>
      <c r="AK2" s="16"/>
      <c r="AL2" s="195" t="s">
        <v>713</v>
      </c>
      <c r="AM2" s="13"/>
      <c r="AN2" s="13"/>
      <c r="AO2" s="13"/>
      <c r="AP2" s="13"/>
      <c r="AQ2" s="13"/>
      <c r="AR2" s="13"/>
      <c r="AS2" s="13"/>
      <c r="AT2" s="16"/>
      <c r="AU2" s="195" t="s">
        <v>716</v>
      </c>
      <c r="AV2" s="13"/>
      <c r="AW2" s="13"/>
      <c r="AX2" s="13"/>
      <c r="AY2" s="13"/>
      <c r="AZ2" s="13"/>
      <c r="BA2" s="13"/>
      <c r="BB2" s="13"/>
      <c r="BC2" s="16"/>
      <c r="BD2" s="195" t="s">
        <v>720</v>
      </c>
      <c r="BE2" s="13"/>
      <c r="BF2" s="13"/>
      <c r="BG2" s="13"/>
      <c r="BH2" s="13"/>
      <c r="BI2" s="13"/>
      <c r="BJ2" s="13"/>
      <c r="BK2" s="13"/>
      <c r="BL2" s="16"/>
    </row>
    <row r="3">
      <c r="A3" s="196" t="s">
        <v>721</v>
      </c>
      <c r="B3" s="219" t="s">
        <v>722</v>
      </c>
      <c r="C3" s="220" t="s">
        <v>731</v>
      </c>
      <c r="D3" s="221" t="s">
        <v>9</v>
      </c>
      <c r="E3" s="222" t="s">
        <v>12</v>
      </c>
      <c r="F3" s="222" t="s">
        <v>13</v>
      </c>
      <c r="G3" s="222" t="s">
        <v>234</v>
      </c>
      <c r="H3" s="222" t="s">
        <v>17</v>
      </c>
      <c r="I3" s="222"/>
      <c r="J3" s="223" t="s">
        <v>18</v>
      </c>
      <c r="K3" s="222" t="s">
        <v>722</v>
      </c>
      <c r="L3" s="220" t="s">
        <v>731</v>
      </c>
      <c r="M3" s="221" t="s">
        <v>9</v>
      </c>
      <c r="N3" s="222" t="s">
        <v>12</v>
      </c>
      <c r="O3" s="222" t="s">
        <v>13</v>
      </c>
      <c r="P3" s="222" t="s">
        <v>234</v>
      </c>
      <c r="Q3" s="222" t="s">
        <v>17</v>
      </c>
      <c r="R3" s="222"/>
      <c r="S3" s="224" t="s">
        <v>18</v>
      </c>
      <c r="T3" s="230" t="s">
        <v>722</v>
      </c>
      <c r="U3" s="220" t="s">
        <v>731</v>
      </c>
      <c r="V3" s="221" t="s">
        <v>9</v>
      </c>
      <c r="W3" s="222" t="s">
        <v>12</v>
      </c>
      <c r="X3" s="222" t="s">
        <v>13</v>
      </c>
      <c r="Y3" s="222" t="s">
        <v>234</v>
      </c>
      <c r="Z3" s="222" t="s">
        <v>17</v>
      </c>
      <c r="AA3" s="222"/>
      <c r="AB3" s="231" t="s">
        <v>18</v>
      </c>
      <c r="AC3" s="222" t="s">
        <v>722</v>
      </c>
      <c r="AD3" s="220" t="s">
        <v>731</v>
      </c>
      <c r="AE3" s="221" t="s">
        <v>9</v>
      </c>
      <c r="AF3" s="222" t="s">
        <v>12</v>
      </c>
      <c r="AG3" s="222" t="s">
        <v>13</v>
      </c>
      <c r="AH3" s="222" t="s">
        <v>234</v>
      </c>
      <c r="AI3" s="222" t="s">
        <v>17</v>
      </c>
      <c r="AJ3" s="222"/>
      <c r="AK3" s="231" t="s">
        <v>18</v>
      </c>
      <c r="AL3" s="232" t="s">
        <v>722</v>
      </c>
      <c r="AM3" s="220" t="s">
        <v>731</v>
      </c>
      <c r="AN3" s="221" t="s">
        <v>9</v>
      </c>
      <c r="AO3" s="222" t="s">
        <v>12</v>
      </c>
      <c r="AP3" s="222" t="s">
        <v>13</v>
      </c>
      <c r="AQ3" s="222" t="s">
        <v>234</v>
      </c>
      <c r="AR3" s="222" t="s">
        <v>17</v>
      </c>
      <c r="AS3" s="222"/>
      <c r="AT3" s="231" t="s">
        <v>18</v>
      </c>
      <c r="AU3" s="232" t="s">
        <v>722</v>
      </c>
      <c r="AV3" s="220" t="s">
        <v>731</v>
      </c>
      <c r="AW3" s="221" t="s">
        <v>9</v>
      </c>
      <c r="AX3" s="222" t="s">
        <v>12</v>
      </c>
      <c r="AY3" s="222" t="s">
        <v>13</v>
      </c>
      <c r="AZ3" s="222" t="s">
        <v>234</v>
      </c>
      <c r="BA3" s="222" t="s">
        <v>17</v>
      </c>
      <c r="BB3" s="222"/>
      <c r="BC3" s="231" t="s">
        <v>18</v>
      </c>
      <c r="BD3" s="232" t="s">
        <v>722</v>
      </c>
      <c r="BE3" s="220" t="s">
        <v>731</v>
      </c>
      <c r="BF3" s="221" t="s">
        <v>9</v>
      </c>
      <c r="BG3" s="222" t="s">
        <v>12</v>
      </c>
      <c r="BH3" s="222" t="s">
        <v>13</v>
      </c>
      <c r="BI3" s="222" t="s">
        <v>234</v>
      </c>
      <c r="BJ3" s="222" t="s">
        <v>17</v>
      </c>
      <c r="BK3" s="222"/>
      <c r="BL3" s="231" t="s">
        <v>18</v>
      </c>
    </row>
    <row r="4">
      <c r="A4" s="225" t="s">
        <v>19</v>
      </c>
      <c r="B4" s="233" t="str">
        <f>IFERROR(__xludf.DUMMYFUNCTION("unique('K-M'!M35:U35)"),"")</f>
        <v/>
      </c>
      <c r="C4" s="87" t="str">
        <f>IFERROR(__xludf.DUMMYFUNCTION("""COMPUTED_VALUE"""),"")</f>
        <v/>
      </c>
      <c r="D4" s="234" t="str">
        <f>IFERROR(__xludf.DUMMYFUNCTION("""COMPUTED_VALUE"""),"")</f>
        <v/>
      </c>
      <c r="E4" s="115" t="str">
        <f>IFERROR(__xludf.DUMMYFUNCTION("""COMPUTED_VALUE"""),"")</f>
        <v/>
      </c>
      <c r="F4" s="115" t="str">
        <f>IFERROR(__xludf.DUMMYFUNCTION("""COMPUTED_VALUE"""),"")</f>
        <v/>
      </c>
      <c r="G4" s="115" t="str">
        <f>IFERROR(__xludf.DUMMYFUNCTION("""COMPUTED_VALUE"""),"")</f>
        <v/>
      </c>
      <c r="H4" s="115" t="str">
        <f>IFERROR(__xludf.DUMMYFUNCTION("""COMPUTED_VALUE"""),"")</f>
        <v/>
      </c>
      <c r="I4" s="87" t="str">
        <f>IFERROR(__xludf.DUMMYFUNCTION("""COMPUTED_VALUE"""),"")</f>
        <v/>
      </c>
      <c r="J4" s="234" t="str">
        <f>IFERROR(__xludf.DUMMYFUNCTION("""COMPUTED_VALUE"""),"")</f>
        <v/>
      </c>
      <c r="K4" s="233">
        <f>IFERROR(__xludf.DUMMYFUNCTION("unique('1-M'!M33:U41)"),4.0)</f>
        <v>4</v>
      </c>
      <c r="L4" s="87" t="str">
        <f>IFERROR(__xludf.DUMMYFUNCTION("""COMPUTED_VALUE"""),"1.NBT.A.1")</f>
        <v>1.NBT.A.1</v>
      </c>
      <c r="M4" s="234" t="str">
        <f>IFERROR(__xludf.DUMMYFUNCTION("""COMPUTED_VALUE"""),"Count to 120, starting at any number less than 120. In this range, read and write numerals and represent a number of objects with a written numeral.")</f>
        <v>Count to 120, starting at any number less than 120. In this range, read and write numerals and represent a number of objects with a written numeral.</v>
      </c>
      <c r="N4" s="115" t="b">
        <f>IFERROR(__xludf.DUMMYFUNCTION("""COMPUTED_VALUE"""),TRUE)</f>
        <v>1</v>
      </c>
      <c r="O4" s="115" t="b">
        <f>IFERROR(__xludf.DUMMYFUNCTION("""COMPUTED_VALUE"""),TRUE)</f>
        <v>1</v>
      </c>
      <c r="P4" s="115" t="b">
        <f>IFERROR(__xludf.DUMMYFUNCTION("""COMPUTED_VALUE"""),TRUE)</f>
        <v>1</v>
      </c>
      <c r="Q4" s="115" t="b">
        <f>IFERROR(__xludf.DUMMYFUNCTION("""COMPUTED_VALUE"""),TRUE)</f>
        <v>1</v>
      </c>
      <c r="R4" s="87" t="str">
        <f>IFERROR(__xludf.DUMMYFUNCTION("""COMPUTED_VALUE"""),"")</f>
        <v/>
      </c>
      <c r="S4" s="234" t="str">
        <f>IFERROR(__xludf.DUMMYFUNCTION("""COMPUTED_VALUE"""),"R- Number sense is an essential skill that will prepare students for success at all levels. E- This is a foundational skill that will be used in multiple units. A- iStation L- Number sense will also be applied in Science ")</f>
        <v>R- Number sense is an essential skill that will prepare students for success at all levels. E- This is a foundational skill that will be used in multiple units. A- iStation L- Number sense will also be applied in Science </v>
      </c>
      <c r="T4" s="240">
        <f>IFERROR(__xludf.DUMMYFUNCTION("unique('2-M'!M37:U47)"),3.0)</f>
        <v>3</v>
      </c>
      <c r="U4" s="87" t="str">
        <f>IFERROR(__xludf.DUMMYFUNCTION("""COMPUTED_VALUE"""),"2.NBT.A.1")</f>
        <v>2.NBT.A.1</v>
      </c>
      <c r="V4" s="234" t="str">
        <f>IFERROR(__xludf.DUMMYFUNCTION("""COMPUTED_VALUE"""),"Understand that the three digits of a three-digit number represent amounts of hundreds, tens, and ones; e.g., 706 equals 7 hundreds, 0 tens, and 6 ones. Understand the following as special cases:")</f>
        <v>Understand that the three digits of a three-digit number represent amounts of hundreds, tens, and ones; e.g., 706 equals 7 hundreds, 0 tens, and 6 ones. Understand the following as special cases:</v>
      </c>
      <c r="W4" s="115" t="b">
        <f>IFERROR(__xludf.DUMMYFUNCTION("""COMPUTED_VALUE"""),TRUE)</f>
        <v>1</v>
      </c>
      <c r="X4" s="115" t="b">
        <f>IFERROR(__xludf.DUMMYFUNCTION("""COMPUTED_VALUE"""),TRUE)</f>
        <v>1</v>
      </c>
      <c r="Y4" s="115" t="b">
        <f>IFERROR(__xludf.DUMMYFUNCTION("""COMPUTED_VALUE"""),TRUE)</f>
        <v>1</v>
      </c>
      <c r="Z4" s="115" t="b">
        <f>IFERROR(__xludf.DUMMYFUNCTION("""COMPUTED_VALUE"""),FALSE)</f>
        <v>0</v>
      </c>
      <c r="AA4" s="241" t="str">
        <f>IFERROR(__xludf.DUMMYFUNCTION("""COMPUTED_VALUE"""),"")</f>
        <v/>
      </c>
      <c r="AB4" s="234" t="str">
        <f>IFERROR(__xludf.DUMMYFUNCTION("""COMPUTED_VALUE"""),"2.nbt.a.1a and a.1b are targets. 
R-place value is needed to understand rounding
E-foundation for # sense 
A- on Istation")</f>
        <v>2.nbt.a.1a and a.1b are targets. 
R-place value is needed to understand rounding
E-foundation for # sense 
A- on Istation</v>
      </c>
      <c r="AC4" s="240" t="str">
        <f>IFERROR(__xludf.DUMMYFUNCTION("unique('3-M'!M49:U51)"),"")</f>
        <v/>
      </c>
      <c r="AD4" s="87" t="str">
        <f>IFERROR(__xludf.DUMMYFUNCTION("""COMPUTED_VALUE"""),"")</f>
        <v/>
      </c>
      <c r="AE4" s="234" t="str">
        <f>IFERROR(__xludf.DUMMYFUNCTION("""COMPUTED_VALUE"""),"")</f>
        <v/>
      </c>
      <c r="AF4" s="115" t="str">
        <f>IFERROR(__xludf.DUMMYFUNCTION("""COMPUTED_VALUE"""),"")</f>
        <v/>
      </c>
      <c r="AG4" s="115" t="str">
        <f>IFERROR(__xludf.DUMMYFUNCTION("""COMPUTED_VALUE"""),"")</f>
        <v/>
      </c>
      <c r="AH4" s="115" t="str">
        <f>IFERROR(__xludf.DUMMYFUNCTION("""COMPUTED_VALUE"""),"")</f>
        <v/>
      </c>
      <c r="AI4" s="115" t="str">
        <f>IFERROR(__xludf.DUMMYFUNCTION("""COMPUTED_VALUE"""),"")</f>
        <v/>
      </c>
      <c r="AJ4" s="87" t="str">
        <f>IFERROR(__xludf.DUMMYFUNCTION("""COMPUTED_VALUE"""),"")</f>
        <v/>
      </c>
      <c r="AK4" s="234" t="str">
        <f>IFERROR(__xludf.DUMMYFUNCTION("""COMPUTED_VALUE"""),"")</f>
        <v/>
      </c>
      <c r="AL4" s="240" t="str">
        <f>IFERROR(__xludf.DUMMYFUNCTION("unique('4-M'!M47:U52)"),"")</f>
        <v/>
      </c>
      <c r="AM4" s="87" t="str">
        <f>IFERROR(__xludf.DUMMYFUNCTION("""COMPUTED_VALUE"""),"")</f>
        <v/>
      </c>
      <c r="AN4" s="234" t="str">
        <f>IFERROR(__xludf.DUMMYFUNCTION("""COMPUTED_VALUE"""),"")</f>
        <v/>
      </c>
      <c r="AO4" s="115" t="str">
        <f>IFERROR(__xludf.DUMMYFUNCTION("""COMPUTED_VALUE"""),"")</f>
        <v/>
      </c>
      <c r="AP4" s="115" t="str">
        <f>IFERROR(__xludf.DUMMYFUNCTION("""COMPUTED_VALUE"""),"")</f>
        <v/>
      </c>
      <c r="AQ4" s="115" t="str">
        <f>IFERROR(__xludf.DUMMYFUNCTION("""COMPUTED_VALUE"""),"")</f>
        <v/>
      </c>
      <c r="AR4" s="115" t="str">
        <f>IFERROR(__xludf.DUMMYFUNCTION("""COMPUTED_VALUE"""),"")</f>
        <v/>
      </c>
      <c r="AS4" s="87" t="str">
        <f>IFERROR(__xludf.DUMMYFUNCTION("""COMPUTED_VALUE"""),"")</f>
        <v/>
      </c>
      <c r="AT4" s="234" t="str">
        <f>IFERROR(__xludf.DUMMYFUNCTION("""COMPUTED_VALUE"""),"")</f>
        <v/>
      </c>
      <c r="AU4" s="240" t="str">
        <f>IFERROR(__xludf.DUMMYFUNCTION("unique('5-M'!M48:U56)"),"")</f>
        <v/>
      </c>
      <c r="AV4" s="87" t="str">
        <f>IFERROR(__xludf.DUMMYFUNCTION("""COMPUTED_VALUE"""),"")</f>
        <v/>
      </c>
      <c r="AW4" s="234" t="str">
        <f>IFERROR(__xludf.DUMMYFUNCTION("""COMPUTED_VALUE"""),"")</f>
        <v/>
      </c>
      <c r="AX4" s="115" t="str">
        <f>IFERROR(__xludf.DUMMYFUNCTION("""COMPUTED_VALUE"""),"")</f>
        <v/>
      </c>
      <c r="AY4" s="115" t="str">
        <f>IFERROR(__xludf.DUMMYFUNCTION("""COMPUTED_VALUE"""),"")</f>
        <v/>
      </c>
      <c r="AZ4" s="115" t="str">
        <f>IFERROR(__xludf.DUMMYFUNCTION("""COMPUTED_VALUE"""),"")</f>
        <v/>
      </c>
      <c r="BA4" s="115" t="str">
        <f>IFERROR(__xludf.DUMMYFUNCTION("""COMPUTED_VALUE"""),"")</f>
        <v/>
      </c>
      <c r="BB4" s="87" t="str">
        <f>IFERROR(__xludf.DUMMYFUNCTION("""COMPUTED_VALUE"""),"")</f>
        <v/>
      </c>
      <c r="BC4" s="234" t="str">
        <f>IFERROR(__xludf.DUMMYFUNCTION("""COMPUTED_VALUE"""),"")</f>
        <v/>
      </c>
      <c r="BD4" s="240">
        <f>IFERROR(__xludf.DUMMYFUNCTION("unique('6-M'!M56:U70)"),3.0)</f>
        <v>3</v>
      </c>
      <c r="BE4" s="87" t="str">
        <f>IFERROR(__xludf.DUMMYFUNCTION("""COMPUTED_VALUE"""),"6.NS.A.1")</f>
        <v>6.NS.A.1</v>
      </c>
      <c r="BF4" s="234" t="str">
        <f>IFERROR(__xludf.DUMMYFUNCTION("""COMPUTED_VALUE"""),"Interpret and compute quotients of fractions, and solve word problems involving division of fractions by fractions, e.g., by using visual fraction models and equations to represent the problem. For example, create a story context for (2/3) ÷ (3/4) and use"&amp;" a visual fraction model to show the quotient; use the relationship between multiplication and division to explain that (2/3) ÷ (3/4) = 8/9 because 3/4 of 8/9 is 2/3. (In general, (a/b) ÷ (c/d) = ad/bc.) ")</f>
        <v>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v>
      </c>
      <c r="BG4" s="115" t="b">
        <f>IFERROR(__xludf.DUMMYFUNCTION("""COMPUTED_VALUE"""),TRUE)</f>
        <v>1</v>
      </c>
      <c r="BH4" s="115" t="b">
        <f>IFERROR(__xludf.DUMMYFUNCTION("""COMPUTED_VALUE"""),TRUE)</f>
        <v>1</v>
      </c>
      <c r="BI4" s="115" t="b">
        <f>IFERROR(__xludf.DUMMYFUNCTION("""COMPUTED_VALUE"""),TRUE)</f>
        <v>1</v>
      </c>
      <c r="BJ4" s="115" t="b">
        <f>IFERROR(__xludf.DUMMYFUNCTION("""COMPUTED_VALUE"""),FALSE)</f>
        <v>0</v>
      </c>
      <c r="BK4" s="87" t="str">
        <f>IFERROR(__xludf.DUMMYFUNCTION("""COMPUTED_VALUE"""),"")</f>
        <v/>
      </c>
      <c r="BL4" s="234" t="str">
        <f>IFERROR(__xludf.DUMMYFUNCTION("""COMPUTED_VALUE"""),"R- required for algebra
E- used past high school
A- 1-3 questions on ACT
L-")</f>
        <v>R- required for algebra
E- used past high school
A- 1-3 questions on ACT
L-</v>
      </c>
    </row>
    <row r="5">
      <c r="A5" s="211"/>
      <c r="B5" s="233"/>
      <c r="C5" s="87"/>
      <c r="D5" s="234"/>
      <c r="E5" s="115"/>
      <c r="F5" s="115"/>
      <c r="G5" s="115"/>
      <c r="H5" s="115"/>
      <c r="I5" s="87"/>
      <c r="J5" s="234"/>
      <c r="K5" s="233">
        <f>IFERROR(__xludf.DUMMYFUNCTION("""COMPUTED_VALUE"""),4.0)</f>
        <v>4</v>
      </c>
      <c r="L5" s="87" t="str">
        <f>IFERROR(__xludf.DUMMYFUNCTION("""COMPUTED_VALUE"""),"1.NBT.B.2")</f>
        <v>1.NBT.B.2</v>
      </c>
      <c r="M5" s="234" t="str">
        <f>IFERROR(__xludf.DUMMYFUNCTION("""COMPUTED_VALUE"""),"Understand that the two digits of a two-digit number represent amounts of tens and ones. Understand the following as special cases:")</f>
        <v>Understand that the two digits of a two-digit number represent amounts of tens and ones. Understand the following as special cases:</v>
      </c>
      <c r="N5" s="115" t="b">
        <f>IFERROR(__xludf.DUMMYFUNCTION("""COMPUTED_VALUE"""),TRUE)</f>
        <v>1</v>
      </c>
      <c r="O5" s="115" t="b">
        <f>IFERROR(__xludf.DUMMYFUNCTION("""COMPUTED_VALUE"""),TRUE)</f>
        <v>1</v>
      </c>
      <c r="P5" s="115" t="b">
        <f>IFERROR(__xludf.DUMMYFUNCTION("""COMPUTED_VALUE"""),TRUE)</f>
        <v>1</v>
      </c>
      <c r="Q5" s="115" t="b">
        <f>IFERROR(__xludf.DUMMYFUNCTION("""COMPUTED_VALUE"""),TRUE)</f>
        <v>1</v>
      </c>
      <c r="R5" s="87" t="str">
        <f>IFERROR(__xludf.DUMMYFUNCTION("""COMPUTED_VALUE"""),"")</f>
        <v/>
      </c>
      <c r="S5" s="234" t="str">
        <f>IFERROR(__xludf.DUMMYFUNCTION("""COMPUTED_VALUE"""),"R- Number sense is an essential skill that will prepare students for success at all levels. E- Place Value is a foundational skill that will be used in multiple units A- iStation L- Place value will be used in Science")</f>
        <v>R- Number sense is an essential skill that will prepare students for success at all levels. E- Place Value is a foundational skill that will be used in multiple units A- iStation L- Place value will be used in Science</v>
      </c>
      <c r="T5" s="240">
        <f>IFERROR(__xludf.DUMMYFUNCTION("""COMPUTED_VALUE"""),0.0)</f>
        <v>0</v>
      </c>
      <c r="U5" s="87" t="str">
        <f>IFERROR(__xludf.DUMMYFUNCTION("""COMPUTED_VALUE"""),"")</f>
        <v/>
      </c>
      <c r="V5" s="234" t="str">
        <f>IFERROR(__xludf.DUMMYFUNCTION("""COMPUTED_VALUE"""),"")</f>
        <v/>
      </c>
      <c r="W5" s="115" t="str">
        <f>IFERROR(__xludf.DUMMYFUNCTION("""COMPUTED_VALUE"""),"")</f>
        <v/>
      </c>
      <c r="X5" s="115" t="str">
        <f>IFERROR(__xludf.DUMMYFUNCTION("""COMPUTED_VALUE"""),"")</f>
        <v/>
      </c>
      <c r="Y5" s="115" t="str">
        <f>IFERROR(__xludf.DUMMYFUNCTION("""COMPUTED_VALUE"""),"")</f>
        <v/>
      </c>
      <c r="Z5" s="115" t="str">
        <f>IFERROR(__xludf.DUMMYFUNCTION("""COMPUTED_VALUE"""),"")</f>
        <v/>
      </c>
      <c r="AA5" s="241" t="str">
        <f>IFERROR(__xludf.DUMMYFUNCTION("""COMPUTED_VALUE"""),"")</f>
        <v/>
      </c>
      <c r="AB5" s="234" t="str">
        <f>IFERROR(__xludf.DUMMYFUNCTION("""COMPUTED_VALUE"""),"")</f>
        <v/>
      </c>
      <c r="AC5" s="240">
        <f>IFERROR(__xludf.DUMMYFUNCTION("""COMPUTED_VALUE"""),4.0)</f>
        <v>4</v>
      </c>
      <c r="AD5" s="87" t="str">
        <f>IFERROR(__xludf.DUMMYFUNCTION("""COMPUTED_VALUE"""),"3.NBT.A.2")</f>
        <v>3.NBT.A.2</v>
      </c>
      <c r="AE5" s="234" t="str">
        <f>IFERROR(__xludf.DUMMYFUNCTION("""COMPUTED_VALUE"""),"Fluently add and subtract within 1000 using strategies and algorithms based on place value, properties of operations, and/or the relationship between addition and subtraction.")</f>
        <v>Fluently add and subtract within 1000 using strategies and algorithms based on place value, properties of operations, and/or the relationship between addition and subtraction.</v>
      </c>
      <c r="AF5" s="115" t="b">
        <f>IFERROR(__xludf.DUMMYFUNCTION("""COMPUTED_VALUE"""),TRUE)</f>
        <v>1</v>
      </c>
      <c r="AG5" s="115" t="b">
        <f>IFERROR(__xludf.DUMMYFUNCTION("""COMPUTED_VALUE"""),TRUE)</f>
        <v>1</v>
      </c>
      <c r="AH5" s="115" t="b">
        <f>IFERROR(__xludf.DUMMYFUNCTION("""COMPUTED_VALUE"""),TRUE)</f>
        <v>1</v>
      </c>
      <c r="AI5" s="115" t="b">
        <f>IFERROR(__xludf.DUMMYFUNCTION("""COMPUTED_VALUE"""),TRUE)</f>
        <v>1</v>
      </c>
      <c r="AJ5" s="87" t="str">
        <f>IFERROR(__xludf.DUMMYFUNCTION("""COMPUTED_VALUE"""),"")</f>
        <v/>
      </c>
      <c r="AK5" s="234" t="str">
        <f>IFERROR(__xludf.DUMMYFUNCTION("""COMPUTED_VALUE"""),"")</f>
        <v/>
      </c>
      <c r="AL5" s="240">
        <f>IFERROR(__xludf.DUMMYFUNCTION("""COMPUTED_VALUE"""),4.0)</f>
        <v>4</v>
      </c>
      <c r="AM5" s="87" t="str">
        <f>IFERROR(__xludf.DUMMYFUNCTION("""COMPUTED_VALUE"""),"4.NBT.A.2
(Part One)")</f>
        <v>4.NBT.A.2
(Part One)</v>
      </c>
      <c r="AN5" s="234" t="str">
        <f>IFERROR(__xludf.DUMMYFUNCTION("""COMPUTED_VALUE"""),"Read and write multi-digit whole numbers using base-ten numerals, number names, and expanded form. ")</f>
        <v>Read and write multi-digit whole numbers using base-ten numerals, number names, and expanded form. </v>
      </c>
      <c r="AO5" s="115" t="b">
        <f>IFERROR(__xludf.DUMMYFUNCTION("""COMPUTED_VALUE"""),TRUE)</f>
        <v>1</v>
      </c>
      <c r="AP5" s="115" t="b">
        <f>IFERROR(__xludf.DUMMYFUNCTION("""COMPUTED_VALUE"""),TRUE)</f>
        <v>1</v>
      </c>
      <c r="AQ5" s="115" t="b">
        <f>IFERROR(__xludf.DUMMYFUNCTION("""COMPUTED_VALUE"""),TRUE)</f>
        <v>1</v>
      </c>
      <c r="AR5" s="115" t="b">
        <f>IFERROR(__xludf.DUMMYFUNCTION("""COMPUTED_VALUE"""),TRUE)</f>
        <v>1</v>
      </c>
      <c r="AS5" s="87" t="str">
        <f>IFERROR(__xludf.DUMMYFUNCTION("""COMPUTED_VALUE"""),"")</f>
        <v/>
      </c>
      <c r="AT5" s="234" t="str">
        <f>IFERROR(__xludf.DUMMYFUNCTION("""COMPUTED_VALUE"""),"R - Will be used throughout grade bands
E - Yes, we use it... but will it ALWAYS be assessed?
A - Yup
L - Science
(Low priority)")</f>
        <v>R - Will be used throughout grade bands
E - Yes, we use it... but will it ALWAYS be assessed?
A - Yup
L - Science
(Low priority)</v>
      </c>
      <c r="AU5" s="240">
        <f>IFERROR(__xludf.DUMMYFUNCTION("""COMPUTED_VALUE"""),4.0)</f>
        <v>4</v>
      </c>
      <c r="AV5" s="87" t="str">
        <f>IFERROR(__xludf.DUMMYFUNCTION("""COMPUTED_VALUE"""),"5.NBT.A.2")</f>
        <v>5.NBT.A.2</v>
      </c>
      <c r="AW5" s="234" t="str">
        <f>IFERROR(__xludf.DUMMYFUNCTION("""COMPUTED_VALUE"""),"Explain patterns in the number of zeros of the product when multiplying a number by powers of 10, and explain patterns in the placement of the decimal point when a decimal is multiplied or divided by a power of 10. Use whole-number exponents to denote pow"&amp;"ers of 10.")</f>
        <v>Explain patterns in the number of zeros of the product when multiplying a number by powers of 10, and explain patterns in the placement of the decimal point when a decimal is multiplied or divided by a power of 10. Use whole-number exponents to denote powers of 10.</v>
      </c>
      <c r="AX5" s="115" t="b">
        <f>IFERROR(__xludf.DUMMYFUNCTION("""COMPUTED_VALUE"""),TRUE)</f>
        <v>1</v>
      </c>
      <c r="AY5" s="115" t="b">
        <f>IFERROR(__xludf.DUMMYFUNCTION("""COMPUTED_VALUE"""),TRUE)</f>
        <v>1</v>
      </c>
      <c r="AZ5" s="115" t="b">
        <f>IFERROR(__xludf.DUMMYFUNCTION("""COMPUTED_VALUE"""),TRUE)</f>
        <v>1</v>
      </c>
      <c r="BA5" s="115" t="b">
        <f>IFERROR(__xludf.DUMMYFUNCTION("""COMPUTED_VALUE"""),TRUE)</f>
        <v>1</v>
      </c>
      <c r="BB5" s="87" t="str">
        <f>IFERROR(__xludf.DUMMYFUNCTION("""COMPUTED_VALUE"""),"")</f>
        <v/>
      </c>
      <c r="BC5" s="234" t="str">
        <f>IFERROR(__xludf.DUMMYFUNCTION("""COMPUTED_VALUE"""),"R-Understanding will assist future grades in most math operations
E-underpins the base-ten number system and will be used throughout the year
A-several NBT place value questions appear on ACT Aspire")</f>
        <v>R-Understanding will assist future grades in most math operations
E-underpins the base-ten number system and will be used throughout the year
A-several NBT place value questions appear on ACT Aspire</v>
      </c>
      <c r="BD5" s="240" t="str">
        <f>IFERROR(__xludf.DUMMYFUNCTION("""COMPUTED_VALUE"""),"")</f>
        <v/>
      </c>
      <c r="BE5" s="87" t="str">
        <f>IFERROR(__xludf.DUMMYFUNCTION("""COMPUTED_VALUE"""),"")</f>
        <v/>
      </c>
      <c r="BF5" s="234" t="str">
        <f>IFERROR(__xludf.DUMMYFUNCTION("""COMPUTED_VALUE"""),"")</f>
        <v/>
      </c>
      <c r="BG5" s="115" t="str">
        <f>IFERROR(__xludf.DUMMYFUNCTION("""COMPUTED_VALUE"""),"")</f>
        <v/>
      </c>
      <c r="BH5" s="115" t="str">
        <f>IFERROR(__xludf.DUMMYFUNCTION("""COMPUTED_VALUE"""),"")</f>
        <v/>
      </c>
      <c r="BI5" s="115" t="str">
        <f>IFERROR(__xludf.DUMMYFUNCTION("""COMPUTED_VALUE"""),"")</f>
        <v/>
      </c>
      <c r="BJ5" s="115" t="str">
        <f>IFERROR(__xludf.DUMMYFUNCTION("""COMPUTED_VALUE"""),"")</f>
        <v/>
      </c>
      <c r="BK5" s="87" t="str">
        <f>IFERROR(__xludf.DUMMYFUNCTION("""COMPUTED_VALUE"""),"")</f>
        <v/>
      </c>
      <c r="BL5" s="234" t="str">
        <f>IFERROR(__xludf.DUMMYFUNCTION("""COMPUTED_VALUE"""),"")</f>
        <v/>
      </c>
    </row>
    <row r="6">
      <c r="A6" s="211"/>
      <c r="B6" s="233"/>
      <c r="C6" s="87"/>
      <c r="D6" s="234"/>
      <c r="E6" s="115"/>
      <c r="F6" s="115"/>
      <c r="G6" s="115"/>
      <c r="H6" s="115"/>
      <c r="I6" s="87"/>
      <c r="J6" s="234"/>
      <c r="K6" s="233" t="str">
        <f>IFERROR(__xludf.DUMMYFUNCTION("""COMPUTED_VALUE"""),"")</f>
        <v/>
      </c>
      <c r="L6" s="87" t="str">
        <f>IFERROR(__xludf.DUMMYFUNCTION("""COMPUTED_VALUE"""),"")</f>
        <v/>
      </c>
      <c r="M6" s="234" t="str">
        <f>IFERROR(__xludf.DUMMYFUNCTION("""COMPUTED_VALUE"""),"")</f>
        <v/>
      </c>
      <c r="N6" s="115" t="str">
        <f>IFERROR(__xludf.DUMMYFUNCTION("""COMPUTED_VALUE"""),"")</f>
        <v/>
      </c>
      <c r="O6" s="115" t="str">
        <f>IFERROR(__xludf.DUMMYFUNCTION("""COMPUTED_VALUE"""),"")</f>
        <v/>
      </c>
      <c r="P6" s="115" t="str">
        <f>IFERROR(__xludf.DUMMYFUNCTION("""COMPUTED_VALUE"""),"")</f>
        <v/>
      </c>
      <c r="Q6" s="115" t="str">
        <f>IFERROR(__xludf.DUMMYFUNCTION("""COMPUTED_VALUE"""),"")</f>
        <v/>
      </c>
      <c r="R6" s="87" t="str">
        <f>IFERROR(__xludf.DUMMYFUNCTION("""COMPUTED_VALUE"""),"")</f>
        <v/>
      </c>
      <c r="S6" s="234" t="str">
        <f>IFERROR(__xludf.DUMMYFUNCTION("""COMPUTED_VALUE"""),"")</f>
        <v/>
      </c>
      <c r="T6" s="240" t="str">
        <f>IFERROR(__xludf.DUMMYFUNCTION("""COMPUTED_VALUE"""),"")</f>
        <v/>
      </c>
      <c r="U6" s="87" t="str">
        <f>IFERROR(__xludf.DUMMYFUNCTION("""COMPUTED_VALUE"""),"")</f>
        <v/>
      </c>
      <c r="V6" s="234" t="str">
        <f>IFERROR(__xludf.DUMMYFUNCTION("""COMPUTED_VALUE"""),"")</f>
        <v/>
      </c>
      <c r="W6" s="115" t="str">
        <f>IFERROR(__xludf.DUMMYFUNCTION("""COMPUTED_VALUE"""),"")</f>
        <v/>
      </c>
      <c r="X6" s="115" t="str">
        <f>IFERROR(__xludf.DUMMYFUNCTION("""COMPUTED_VALUE"""),"")</f>
        <v/>
      </c>
      <c r="Y6" s="115" t="str">
        <f>IFERROR(__xludf.DUMMYFUNCTION("""COMPUTED_VALUE"""),"")</f>
        <v/>
      </c>
      <c r="Z6" s="115" t="str">
        <f>IFERROR(__xludf.DUMMYFUNCTION("""COMPUTED_VALUE"""),"")</f>
        <v/>
      </c>
      <c r="AA6" s="241" t="str">
        <f>IFERROR(__xludf.DUMMYFUNCTION("""COMPUTED_VALUE"""),"")</f>
        <v/>
      </c>
      <c r="AB6" s="234" t="str">
        <f>IFERROR(__xludf.DUMMYFUNCTION("""COMPUTED_VALUE"""),"")</f>
        <v/>
      </c>
      <c r="AC6" s="240"/>
      <c r="AD6" s="87"/>
      <c r="AE6" s="234"/>
      <c r="AF6" s="115"/>
      <c r="AG6" s="115"/>
      <c r="AH6" s="115"/>
      <c r="AI6" s="115"/>
      <c r="AJ6" s="87"/>
      <c r="AK6" s="234"/>
      <c r="AL6" s="240">
        <f>IFERROR(__xludf.DUMMYFUNCTION("""COMPUTED_VALUE"""),4.0)</f>
        <v>4</v>
      </c>
      <c r="AM6" s="87" t="str">
        <f>IFERROR(__xludf.DUMMYFUNCTION("""COMPUTED_VALUE"""),"4.NBT.B.4")</f>
        <v>4.NBT.B.4</v>
      </c>
      <c r="AN6" s="234" t="str">
        <f>IFERROR(__xludf.DUMMYFUNCTION("""COMPUTED_VALUE"""),"Fluently add and subtract multi-digit whole numbers using the standard algorithm.")</f>
        <v>Fluently add and subtract multi-digit whole numbers using the standard algorithm.</v>
      </c>
      <c r="AO6" s="115" t="b">
        <f>IFERROR(__xludf.DUMMYFUNCTION("""COMPUTED_VALUE"""),TRUE)</f>
        <v>1</v>
      </c>
      <c r="AP6" s="115" t="b">
        <f>IFERROR(__xludf.DUMMYFUNCTION("""COMPUTED_VALUE"""),TRUE)</f>
        <v>1</v>
      </c>
      <c r="AQ6" s="115" t="b">
        <f>IFERROR(__xludf.DUMMYFUNCTION("""COMPUTED_VALUE"""),TRUE)</f>
        <v>1</v>
      </c>
      <c r="AR6" s="115" t="b">
        <f>IFERROR(__xludf.DUMMYFUNCTION("""COMPUTED_VALUE"""),TRUE)</f>
        <v>1</v>
      </c>
      <c r="AS6" s="87" t="str">
        <f>IFERROR(__xludf.DUMMYFUNCTION("""COMPUTED_VALUE"""),"")</f>
        <v/>
      </c>
      <c r="AT6" s="234" t="str">
        <f>IFERROR(__xludf.DUMMYFUNCTION("""COMPUTED_VALUE"""),"")</f>
        <v/>
      </c>
      <c r="AU6" s="240">
        <f>IFERROR(__xludf.DUMMYFUNCTION("""COMPUTED_VALUE"""),4.0)</f>
        <v>4</v>
      </c>
      <c r="AV6" s="87" t="str">
        <f>IFERROR(__xludf.DUMMYFUNCTION("""COMPUTED_VALUE"""),"5.NBT.B.5")</f>
        <v>5.NBT.B.5</v>
      </c>
      <c r="AW6" s="234" t="str">
        <f>IFERROR(__xludf.DUMMYFUNCTION("""COMPUTED_VALUE"""),"Fluently multiply multi-digit whole numbers using the standard algorithm")</f>
        <v>Fluently multiply multi-digit whole numbers using the standard algorithm</v>
      </c>
      <c r="AX6" s="115" t="b">
        <f>IFERROR(__xludf.DUMMYFUNCTION("""COMPUTED_VALUE"""),TRUE)</f>
        <v>1</v>
      </c>
      <c r="AY6" s="115" t="b">
        <f>IFERROR(__xludf.DUMMYFUNCTION("""COMPUTED_VALUE"""),TRUE)</f>
        <v>1</v>
      </c>
      <c r="AZ6" s="115" t="b">
        <f>IFERROR(__xludf.DUMMYFUNCTION("""COMPUTED_VALUE"""),TRUE)</f>
        <v>1</v>
      </c>
      <c r="BA6" s="115" t="b">
        <f>IFERROR(__xludf.DUMMYFUNCTION("""COMPUTED_VALUE"""),TRUE)</f>
        <v>1</v>
      </c>
      <c r="BB6" s="87" t="str">
        <f>IFERROR(__xludf.DUMMYFUNCTION("""COMPUTED_VALUE"""),"")</f>
        <v/>
      </c>
      <c r="BC6" s="234" t="str">
        <f>IFERROR(__xludf.DUMMYFUNCTION("""COMPUTED_VALUE"""),"R-required for 6th
E-used throughout the year, higher DOKs
A-heavily assessed 
L-useful for science and social studies")</f>
        <v>R-required for 6th
E-used throughout the year, higher DOKs
A-heavily assessed 
L-useful for science and social studies</v>
      </c>
      <c r="BD6" s="240">
        <f>IFERROR(__xludf.DUMMYFUNCTION("""COMPUTED_VALUE"""),4.0)</f>
        <v>4</v>
      </c>
      <c r="BE6" s="87" t="str">
        <f>IFERROR(__xludf.DUMMYFUNCTION("""COMPUTED_VALUE"""),"6.NS.B.3")</f>
        <v>6.NS.B.3</v>
      </c>
      <c r="BF6" s="234" t="str">
        <f>IFERROR(__xludf.DUMMYFUNCTION("""COMPUTED_VALUE"""),"Fluently add, subtract, multiply, and divide multi-digit decimals using the standard algorithm for each operation.")</f>
        <v>Fluently add, subtract, multiply, and divide multi-digit decimals using the standard algorithm for each operation.</v>
      </c>
      <c r="BG6" s="115" t="b">
        <f>IFERROR(__xludf.DUMMYFUNCTION("""COMPUTED_VALUE"""),TRUE)</f>
        <v>1</v>
      </c>
      <c r="BH6" s="115" t="b">
        <f>IFERROR(__xludf.DUMMYFUNCTION("""COMPUTED_VALUE"""),TRUE)</f>
        <v>1</v>
      </c>
      <c r="BI6" s="115" t="b">
        <f>IFERROR(__xludf.DUMMYFUNCTION("""COMPUTED_VALUE"""),TRUE)</f>
        <v>1</v>
      </c>
      <c r="BJ6" s="115" t="b">
        <f>IFERROR(__xludf.DUMMYFUNCTION("""COMPUTED_VALUE"""),TRUE)</f>
        <v>1</v>
      </c>
      <c r="BK6" s="87" t="str">
        <f>IFERROR(__xludf.DUMMYFUNCTION("""COMPUTED_VALUE"""),"")</f>
        <v/>
      </c>
      <c r="BL6" s="234" t="str">
        <f>IFERROR(__xludf.DUMMYFUNCTION("""COMPUTED_VALUE"""),"R- required for algebra
E- needed for nearly all future math
A- 1-3 questions on ACT
L- useful in science and real life skills")</f>
        <v>R- required for algebra
E- needed for nearly all future math
A- 1-3 questions on ACT
L- useful in science and real life skills</v>
      </c>
    </row>
    <row r="7">
      <c r="A7" s="211"/>
      <c r="B7" s="233"/>
      <c r="C7" s="87"/>
      <c r="D7" s="234"/>
      <c r="E7" s="115"/>
      <c r="F7" s="115"/>
      <c r="G7" s="115"/>
      <c r="H7" s="115"/>
      <c r="I7" s="87"/>
      <c r="J7" s="234"/>
      <c r="K7" s="233">
        <f>IFERROR(__xludf.DUMMYFUNCTION("""COMPUTED_VALUE"""),3.0)</f>
        <v>3</v>
      </c>
      <c r="L7" s="87" t="str">
        <f>IFERROR(__xludf.DUMMYFUNCTION("""COMPUTED_VALUE"""),"1.NBT.B.3")</f>
        <v>1.NBT.B.3</v>
      </c>
      <c r="M7" s="234" t="str">
        <f>IFERROR(__xludf.DUMMYFUNCTION("""COMPUTED_VALUE"""),"Compare two two-digit numbers based on meanings of the tens and ones digits, recording the results of comparisons with the symbols &gt;, =, and &lt;.")</f>
        <v>Compare two two-digit numbers based on meanings of the tens and ones digits, recording the results of comparisons with the symbols &gt;, =, and &lt;.</v>
      </c>
      <c r="N7" s="115" t="b">
        <f>IFERROR(__xludf.DUMMYFUNCTION("""COMPUTED_VALUE"""),TRUE)</f>
        <v>1</v>
      </c>
      <c r="O7" s="115" t="b">
        <f>IFERROR(__xludf.DUMMYFUNCTION("""COMPUTED_VALUE"""),TRUE)</f>
        <v>1</v>
      </c>
      <c r="P7" s="115" t="b">
        <f>IFERROR(__xludf.DUMMYFUNCTION("""COMPUTED_VALUE"""),TRUE)</f>
        <v>1</v>
      </c>
      <c r="Q7" s="115" t="b">
        <f>IFERROR(__xludf.DUMMYFUNCTION("""COMPUTED_VALUE"""),FALSE)</f>
        <v>0</v>
      </c>
      <c r="R7" s="87" t="str">
        <f>IFERROR(__xludf.DUMMYFUNCTION("""COMPUTED_VALUE"""),"")</f>
        <v/>
      </c>
      <c r="S7" s="234" t="str">
        <f>IFERROR(__xludf.DUMMYFUNCTION("""COMPUTED_VALUE"""),"R- essential for success in 2nd grade and beyond. E- yes A- iStation L- ")</f>
        <v>R- essential for success in 2nd grade and beyond. E- yes A- iStation L- </v>
      </c>
      <c r="T7" s="240"/>
      <c r="U7" s="87"/>
      <c r="V7" s="234"/>
      <c r="W7" s="115"/>
      <c r="X7" s="115"/>
      <c r="Y7" s="115"/>
      <c r="Z7" s="115"/>
      <c r="AA7" s="241"/>
      <c r="AB7" s="234"/>
      <c r="AC7" s="240"/>
      <c r="AD7" s="87"/>
      <c r="AE7" s="234"/>
      <c r="AF7" s="115"/>
      <c r="AG7" s="115"/>
      <c r="AH7" s="115"/>
      <c r="AI7" s="115"/>
      <c r="AJ7" s="87"/>
      <c r="AK7" s="234"/>
      <c r="AL7" s="240">
        <f>IFERROR(__xludf.DUMMYFUNCTION("""COMPUTED_VALUE"""),4.0)</f>
        <v>4</v>
      </c>
      <c r="AM7" s="87" t="str">
        <f>IFERROR(__xludf.DUMMYFUNCTION("""COMPUTED_VALUE"""),"4.NBT.B.5")</f>
        <v>4.NBT.B.5</v>
      </c>
      <c r="AN7" s="234" t="str">
        <f>IFERROR(__xludf.DUMMYFUNCTION("""COMPUTED_VALUE"""),"Multiply a whole number of up to four digits by a one-digit whole number, and multiply two two-digit numbers, using strategies based on place value and the properties of operations. Illustrate and explain the calculation by using equations, rectangular ar"&amp;"rays, and/or area models.")</f>
        <v>Multiply a whole number of up to four digits by a one-digit whole number, and multiply two two-digit numbers, using strategies based on place value and the properties of operations. Illustrate and explain the calculation by using equations, rectangular arrays, and/or area models.</v>
      </c>
      <c r="AO7" s="115" t="b">
        <f>IFERROR(__xludf.DUMMYFUNCTION("""COMPUTED_VALUE"""),TRUE)</f>
        <v>1</v>
      </c>
      <c r="AP7" s="115" t="b">
        <f>IFERROR(__xludf.DUMMYFUNCTION("""COMPUTED_VALUE"""),TRUE)</f>
        <v>1</v>
      </c>
      <c r="AQ7" s="115" t="b">
        <f>IFERROR(__xludf.DUMMYFUNCTION("""COMPUTED_VALUE"""),TRUE)</f>
        <v>1</v>
      </c>
      <c r="AR7" s="115" t="b">
        <f>IFERROR(__xludf.DUMMYFUNCTION("""COMPUTED_VALUE"""),TRUE)</f>
        <v>1</v>
      </c>
      <c r="AS7" s="87" t="str">
        <f>IFERROR(__xludf.DUMMYFUNCTION("""COMPUTED_VALUE"""),"")</f>
        <v/>
      </c>
      <c r="AT7" s="234" t="str">
        <f>IFERROR(__xludf.DUMMYFUNCTION("""COMPUTED_VALUE"""),"")</f>
        <v/>
      </c>
      <c r="AU7" s="240">
        <f>IFERROR(__xludf.DUMMYFUNCTION("""COMPUTED_VALUE"""),4.0)</f>
        <v>4</v>
      </c>
      <c r="AV7" s="87" t="str">
        <f>IFERROR(__xludf.DUMMYFUNCTION("""COMPUTED_VALUE"""),"5.NBT.B.6")</f>
        <v>5.NBT.B.6</v>
      </c>
      <c r="AW7" s="234" t="str">
        <f>IFERROR(__xludf.DUMMYFUNCTION("""COMPUTED_VALUE"""),"Find whole-number quotients of whole numbers with up to four-digit dividends and two-digit divisors, using strategies based on place value, the properties of operations, and/or the relationship between multiplication and division. Illustrate and explain t"&amp;"he calculation by using equations, rectangular arrays, and/or area models.")</f>
        <v>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v>
      </c>
      <c r="AX7" s="115" t="b">
        <f>IFERROR(__xludf.DUMMYFUNCTION("""COMPUTED_VALUE"""),TRUE)</f>
        <v>1</v>
      </c>
      <c r="AY7" s="115" t="b">
        <f>IFERROR(__xludf.DUMMYFUNCTION("""COMPUTED_VALUE"""),TRUE)</f>
        <v>1</v>
      </c>
      <c r="AZ7" s="115" t="b">
        <f>IFERROR(__xludf.DUMMYFUNCTION("""COMPUTED_VALUE"""),TRUE)</f>
        <v>1</v>
      </c>
      <c r="BA7" s="115" t="b">
        <f>IFERROR(__xludf.DUMMYFUNCTION("""COMPUTED_VALUE"""),TRUE)</f>
        <v>1</v>
      </c>
      <c r="BB7" s="87" t="str">
        <f>IFERROR(__xludf.DUMMYFUNCTION("""COMPUTED_VALUE"""),"")</f>
        <v/>
      </c>
      <c r="BC7" s="234" t="str">
        <f>IFERROR(__xludf.DUMMYFUNCTION("""COMPUTED_VALUE"""),"R-required for 6th
E- ties into fractions and equal sharing
A-heavily assessed 
L-useful for science and social studies")</f>
        <v>R-required for 6th
E- ties into fractions and equal sharing
A-heavily assessed 
L-useful for science and social studies</v>
      </c>
      <c r="BD7" s="240">
        <f>IFERROR(__xludf.DUMMYFUNCTION("""COMPUTED_VALUE"""),3.0)</f>
        <v>3</v>
      </c>
      <c r="BE7" s="87" t="str">
        <f>IFERROR(__xludf.DUMMYFUNCTION("""COMPUTED_VALUE"""),"6.NS.B.4")</f>
        <v>6.NS.B.4</v>
      </c>
      <c r="BF7" s="234" t="str">
        <f>IFERROR(__xludf.DUMMYFUNCTION("""COMPUTED_VALUE"""),"Find the greatest common factor of two whole numbers less than or equal to 100 and the least common multiple of two whole numbers less than or equal to 12. Use the distributive property to express a sum of two whole numbers 1–100 with a common factor as a"&amp;" multiple of a sum of two whole numbers with no common factor. For example, express 36 + 8 as 4 (9 + 2).")</f>
        <v>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v>
      </c>
      <c r="BG7" s="115" t="b">
        <f>IFERROR(__xludf.DUMMYFUNCTION("""COMPUTED_VALUE"""),TRUE)</f>
        <v>1</v>
      </c>
      <c r="BH7" s="115" t="b">
        <f>IFERROR(__xludf.DUMMYFUNCTION("""COMPUTED_VALUE"""),TRUE)</f>
        <v>1</v>
      </c>
      <c r="BI7" s="115" t="b">
        <f>IFERROR(__xludf.DUMMYFUNCTION("""COMPUTED_VALUE"""),TRUE)</f>
        <v>1</v>
      </c>
      <c r="BJ7" s="115" t="b">
        <f>IFERROR(__xludf.DUMMYFUNCTION("""COMPUTED_VALUE"""),FALSE)</f>
        <v>0</v>
      </c>
      <c r="BK7" s="87" t="str">
        <f>IFERROR(__xludf.DUMMYFUNCTION("""COMPUTED_VALUE"""),"")</f>
        <v/>
      </c>
      <c r="BL7" s="234" t="str">
        <f>IFERROR(__xludf.DUMMYFUNCTION("""COMPUTED_VALUE"""),"R- needed to factor polynomials in 7th and 8th
E- occurs throughout algebra
A- 3-5 questions on ACT
L-")</f>
        <v>R- needed to factor polynomials in 7th and 8th
E- occurs throughout algebra
A- 3-5 questions on ACT
L-</v>
      </c>
    </row>
    <row r="8">
      <c r="A8" s="211"/>
      <c r="B8" s="233"/>
      <c r="C8" s="87"/>
      <c r="D8" s="234"/>
      <c r="E8" s="115"/>
      <c r="F8" s="115"/>
      <c r="G8" s="115"/>
      <c r="H8" s="115"/>
      <c r="I8" s="87"/>
      <c r="J8" s="234"/>
      <c r="K8" s="233">
        <f>IFERROR(__xludf.DUMMYFUNCTION("""COMPUTED_VALUE"""),4.0)</f>
        <v>4</v>
      </c>
      <c r="L8" s="87" t="str">
        <f>IFERROR(__xludf.DUMMYFUNCTION("""COMPUTED_VALUE"""),"1.NBT.C.4")</f>
        <v>1.NBT.C.4</v>
      </c>
      <c r="M8" s="234" t="str">
        <f>IFERROR(__xludf.DUMMYFUNCTION("""COMPUTED_VALUE"""),"Add within 100, including adding a two-digit number and a one-digit number, and adding a two-digit number and a multiple of 10, using concrete models or drawings and strategies based on place value, properties of operations, and/or the relationship betwee"&amp;"n addition and subtraction; relate the strategy to a written method and explain the reasoning used. Understand that in adding two-digit numbers, one adds tens and tens, ones and ones; and sometimes it is necessary to compose a ten.")</f>
        <v>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v>
      </c>
      <c r="N8" s="115" t="b">
        <f>IFERROR(__xludf.DUMMYFUNCTION("""COMPUTED_VALUE"""),TRUE)</f>
        <v>1</v>
      </c>
      <c r="O8" s="115" t="b">
        <f>IFERROR(__xludf.DUMMYFUNCTION("""COMPUTED_VALUE"""),TRUE)</f>
        <v>1</v>
      </c>
      <c r="P8" s="115" t="b">
        <f>IFERROR(__xludf.DUMMYFUNCTION("""COMPUTED_VALUE"""),TRUE)</f>
        <v>1</v>
      </c>
      <c r="Q8" s="115" t="b">
        <f>IFERROR(__xludf.DUMMYFUNCTION("""COMPUTED_VALUE"""),TRUE)</f>
        <v>1</v>
      </c>
      <c r="R8" s="87" t="str">
        <f>IFERROR(__xludf.DUMMYFUNCTION("""COMPUTED_VALUE"""),"")</f>
        <v/>
      </c>
      <c r="S8" s="234" t="str">
        <f>IFERROR(__xludf.DUMMYFUNCTION("""COMPUTED_VALUE"""),"R- addition is a foundational math skill and will continue into 2nd grade. ")</f>
        <v>R- addition is a foundational math skill and will continue into 2nd grade. </v>
      </c>
      <c r="T8" s="240"/>
      <c r="U8" s="87"/>
      <c r="V8" s="234"/>
      <c r="W8" s="115"/>
      <c r="X8" s="115"/>
      <c r="Y8" s="115"/>
      <c r="Z8" s="115"/>
      <c r="AA8" s="241"/>
      <c r="AB8" s="234"/>
      <c r="AC8" s="240"/>
      <c r="AD8" s="87"/>
      <c r="AE8" s="234"/>
      <c r="AF8" s="115"/>
      <c r="AG8" s="115"/>
      <c r="AH8" s="115"/>
      <c r="AI8" s="115"/>
      <c r="AJ8" s="87"/>
      <c r="AK8" s="234"/>
      <c r="AL8" s="240">
        <f>IFERROR(__xludf.DUMMYFUNCTION("""COMPUTED_VALUE"""),4.0)</f>
        <v>4</v>
      </c>
      <c r="AM8" s="87" t="str">
        <f>IFERROR(__xludf.DUMMYFUNCTION("""COMPUTED_VALUE"""),"4.NBT.B.6")</f>
        <v>4.NBT.B.6</v>
      </c>
      <c r="AN8" s="234" t="str">
        <f>IFERROR(__xludf.DUMMYFUNCTION("""COMPUTED_VALUE"""),"Find whole-number quotients and remainders with up to four-digit dividends and one-digit divisors, using strategies based on place value, the properties of operations, and/or the relationship between multiplication and division. Illustrate and explain the"&amp;" calculation by using equations, rectangular arrays, and/or area models")</f>
        <v>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v>
      </c>
      <c r="AO8" s="115" t="b">
        <f>IFERROR(__xludf.DUMMYFUNCTION("""COMPUTED_VALUE"""),TRUE)</f>
        <v>1</v>
      </c>
      <c r="AP8" s="115" t="b">
        <f>IFERROR(__xludf.DUMMYFUNCTION("""COMPUTED_VALUE"""),TRUE)</f>
        <v>1</v>
      </c>
      <c r="AQ8" s="115" t="b">
        <f>IFERROR(__xludf.DUMMYFUNCTION("""COMPUTED_VALUE"""),TRUE)</f>
        <v>1</v>
      </c>
      <c r="AR8" s="115" t="b">
        <f>IFERROR(__xludf.DUMMYFUNCTION("""COMPUTED_VALUE"""),TRUE)</f>
        <v>1</v>
      </c>
      <c r="AS8" s="87" t="str">
        <f>IFERROR(__xludf.DUMMYFUNCTION("""COMPUTED_VALUE"""),"")</f>
        <v/>
      </c>
      <c r="AT8" s="234" t="str">
        <f>IFERROR(__xludf.DUMMYFUNCTION("""COMPUTED_VALUE"""),"")</f>
        <v/>
      </c>
      <c r="AU8" s="240">
        <f>IFERROR(__xludf.DUMMYFUNCTION("""COMPUTED_VALUE"""),4.0)</f>
        <v>4</v>
      </c>
      <c r="AV8" s="87" t="str">
        <f>IFERROR(__xludf.DUMMYFUNCTION("""COMPUTED_VALUE"""),"5.NBT.B.7")</f>
        <v>5.NBT.B.7</v>
      </c>
      <c r="AW8" s="234" t="str">
        <f>IFERROR(__xludf.DUMMYFUNCTION("""COMPUTED_VALUE"""),"Add, subtract, multiply, and divide decimals to hundredths, using concrete models or drawings and strategies based on place value, properties of operations, and/or the relationship between addition and subtraction; relate the strategy to a written method "&amp;"and explain the reasoning used.")</f>
        <v>Add, subtract, multiply, and divide decimals to hundredths, using concrete models or drawings and strategies based on place value, properties of operations, and/or the relationship between addition and subtraction; relate the strategy to a written method and explain the reasoning used.</v>
      </c>
      <c r="AX8" s="115" t="b">
        <f>IFERROR(__xludf.DUMMYFUNCTION("""COMPUTED_VALUE"""),TRUE)</f>
        <v>1</v>
      </c>
      <c r="AY8" s="115" t="b">
        <f>IFERROR(__xludf.DUMMYFUNCTION("""COMPUTED_VALUE"""),TRUE)</f>
        <v>1</v>
      </c>
      <c r="AZ8" s="115" t="b">
        <f>IFERROR(__xludf.DUMMYFUNCTION("""COMPUTED_VALUE"""),TRUE)</f>
        <v>1</v>
      </c>
      <c r="BA8" s="115" t="b">
        <f>IFERROR(__xludf.DUMMYFUNCTION("""COMPUTED_VALUE"""),TRUE)</f>
        <v>1</v>
      </c>
      <c r="BB8" s="87" t="str">
        <f>IFERROR(__xludf.DUMMYFUNCTION("""COMPUTED_VALUE"""),"")</f>
        <v/>
      </c>
      <c r="BC8" s="234" t="str">
        <f>IFERROR(__xludf.DUMMYFUNCTION("""COMPUTED_VALUE"""),"R-required for 6th
E-used throughout the year
A- 3-5 test questions
L-useful for science and social studies")</f>
        <v>R-required for 6th
E-used throughout the year
A- 3-5 test questions
L-useful for science and social studies</v>
      </c>
      <c r="BD8" s="240">
        <f>IFERROR(__xludf.DUMMYFUNCTION("""COMPUTED_VALUE"""),3.0)</f>
        <v>3</v>
      </c>
      <c r="BE8" s="87" t="str">
        <f>IFERROR(__xludf.DUMMYFUNCTION("""COMPUTED_VALUE"""),"6.NS.C.5")</f>
        <v>6.NS.C.5</v>
      </c>
      <c r="BF8" s="234" t="str">
        <f>IFERROR(__xludf.DUMMYFUNCTION("""COMPUTED_VALUE"""),"Understand that positive and negative numbers are used together to describe quantities having opposite directions or values (e.g., temperature above/below zero, elevation above/below sea level, credits/debits, positive/negative electric charge); use posit"&amp;"ive and negative numbers to represent quantities in real-world contexts, explaining the meaning of 0 in each situation.")</f>
        <v>Understand that positive and negative numbers are used together to describe quantities having opposite directions or values (e.g., temperature above/below zero, elevation above/below sea level, credits/debits, positive/negative electric charge); use positive and negative numbers to represent quantities in real-world contexts, explaining the meaning of 0 in each situation.</v>
      </c>
      <c r="BG8" s="115" t="b">
        <f>IFERROR(__xludf.DUMMYFUNCTION("""COMPUTED_VALUE"""),TRUE)</f>
        <v>1</v>
      </c>
      <c r="BH8" s="115" t="b">
        <f>IFERROR(__xludf.DUMMYFUNCTION("""COMPUTED_VALUE"""),TRUE)</f>
        <v>1</v>
      </c>
      <c r="BI8" s="115" t="b">
        <f>IFERROR(__xludf.DUMMYFUNCTION("""COMPUTED_VALUE"""),TRUE)</f>
        <v>1</v>
      </c>
      <c r="BJ8" s="115" t="b">
        <f>IFERROR(__xludf.DUMMYFUNCTION("""COMPUTED_VALUE"""),FALSE)</f>
        <v>0</v>
      </c>
      <c r="BK8" s="87" t="str">
        <f>IFERROR(__xludf.DUMMYFUNCTION("""COMPUTED_VALUE"""),"")</f>
        <v/>
      </c>
      <c r="BL8" s="234" t="str">
        <f>IFERROR(__xludf.DUMMYFUNCTION("""COMPUTED_VALUE"""),"R- foundational for algebra
E- used past 12th grade
A- 3-5 questions on ACT
L-")</f>
        <v>R- foundational for algebra
E- used past 12th grade
A- 3-5 questions on ACT
L-</v>
      </c>
    </row>
    <row r="9">
      <c r="A9" s="211"/>
      <c r="B9" s="233"/>
      <c r="C9" s="87"/>
      <c r="D9" s="234"/>
      <c r="E9" s="115"/>
      <c r="F9" s="115"/>
      <c r="G9" s="115"/>
      <c r="H9" s="115"/>
      <c r="I9" s="87"/>
      <c r="J9" s="234"/>
      <c r="K9" s="233"/>
      <c r="L9" s="87"/>
      <c r="M9" s="234"/>
      <c r="N9" s="115"/>
      <c r="O9" s="115"/>
      <c r="P9" s="115"/>
      <c r="Q9" s="115"/>
      <c r="R9" s="87"/>
      <c r="S9" s="234"/>
      <c r="T9" s="240"/>
      <c r="U9" s="87"/>
      <c r="V9" s="234"/>
      <c r="W9" s="115"/>
      <c r="X9" s="115"/>
      <c r="Y9" s="115"/>
      <c r="Z9" s="115"/>
      <c r="AA9" s="241"/>
      <c r="AB9" s="234"/>
      <c r="AC9" s="240"/>
      <c r="AD9" s="87"/>
      <c r="AE9" s="234"/>
      <c r="AF9" s="115"/>
      <c r="AG9" s="115"/>
      <c r="AH9" s="115"/>
      <c r="AI9" s="115"/>
      <c r="AJ9" s="87"/>
      <c r="AK9" s="234"/>
      <c r="AL9" s="240"/>
      <c r="AM9" s="87"/>
      <c r="AN9" s="234"/>
      <c r="AO9" s="115"/>
      <c r="AP9" s="115"/>
      <c r="AQ9" s="115"/>
      <c r="AR9" s="115"/>
      <c r="AS9" s="87"/>
      <c r="AT9" s="234"/>
      <c r="AU9" s="240"/>
      <c r="AV9" s="87"/>
      <c r="AW9" s="234"/>
      <c r="AX9" s="115"/>
      <c r="AY9" s="115"/>
      <c r="AZ9" s="115"/>
      <c r="BA9" s="115"/>
      <c r="BB9" s="87"/>
      <c r="BC9" s="234"/>
      <c r="BD9" s="240">
        <f>IFERROR(__xludf.DUMMYFUNCTION("""COMPUTED_VALUE"""),3.0)</f>
        <v>3</v>
      </c>
      <c r="BE9" s="87" t="str">
        <f>IFERROR(__xludf.DUMMYFUNCTION("""COMPUTED_VALUE"""),"6.NS.C.7")</f>
        <v>6.NS.C.7</v>
      </c>
      <c r="BF9" s="234" t="str">
        <f>IFERROR(__xludf.DUMMYFUNCTION("""COMPUTED_VALUE"""),"Understand ordering and absolute value of rational numbers.")</f>
        <v>Understand ordering and absolute value of rational numbers.</v>
      </c>
      <c r="BG9" s="115" t="b">
        <f>IFERROR(__xludf.DUMMYFUNCTION("""COMPUTED_VALUE"""),TRUE)</f>
        <v>1</v>
      </c>
      <c r="BH9" s="115" t="b">
        <f>IFERROR(__xludf.DUMMYFUNCTION("""COMPUTED_VALUE"""),TRUE)</f>
        <v>1</v>
      </c>
      <c r="BI9" s="115" t="b">
        <f>IFERROR(__xludf.DUMMYFUNCTION("""COMPUTED_VALUE"""),TRUE)</f>
        <v>1</v>
      </c>
      <c r="BJ9" s="115" t="b">
        <f>IFERROR(__xludf.DUMMYFUNCTION("""COMPUTED_VALUE"""),FALSE)</f>
        <v>0</v>
      </c>
      <c r="BK9" s="87" t="str">
        <f>IFERROR(__xludf.DUMMYFUNCTION("""COMPUTED_VALUE"""),"")</f>
        <v/>
      </c>
      <c r="BL9" s="234" t="str">
        <f>IFERROR(__xludf.DUMMYFUNCTION("""COMPUTED_VALUE"""),"R-Useful for algebra
E-foundational number sense for algebraic operations
A-3-5 questions on ACT
L-")</f>
        <v>R-Useful for algebra
E-foundational number sense for algebraic operations
A-3-5 questions on ACT
L-</v>
      </c>
    </row>
    <row r="10">
      <c r="A10" s="212"/>
      <c r="B10" s="233"/>
      <c r="C10" s="87"/>
      <c r="D10" s="234"/>
      <c r="E10" s="115"/>
      <c r="F10" s="115"/>
      <c r="G10" s="115"/>
      <c r="H10" s="115"/>
      <c r="I10" s="87"/>
      <c r="J10" s="234"/>
      <c r="K10" s="233"/>
      <c r="L10" s="87"/>
      <c r="M10" s="234"/>
      <c r="N10" s="115"/>
      <c r="O10" s="115"/>
      <c r="P10" s="115"/>
      <c r="Q10" s="115"/>
      <c r="R10" s="87"/>
      <c r="S10" s="234"/>
      <c r="T10" s="240"/>
      <c r="U10" s="87"/>
      <c r="V10" s="234"/>
      <c r="W10" s="115"/>
      <c r="X10" s="115"/>
      <c r="Y10" s="115"/>
      <c r="Z10" s="115"/>
      <c r="AA10" s="241"/>
      <c r="AB10" s="234"/>
      <c r="AC10" s="240"/>
      <c r="AD10" s="87"/>
      <c r="AE10" s="234"/>
      <c r="AF10" s="115"/>
      <c r="AG10" s="115"/>
      <c r="AH10" s="115"/>
      <c r="AI10" s="115"/>
      <c r="AJ10" s="87"/>
      <c r="AK10" s="234"/>
      <c r="AL10" s="240"/>
      <c r="AM10" s="87"/>
      <c r="AN10" s="234"/>
      <c r="AO10" s="115"/>
      <c r="AP10" s="115"/>
      <c r="AQ10" s="115"/>
      <c r="AR10" s="115"/>
      <c r="AS10" s="87"/>
      <c r="AT10" s="234"/>
      <c r="AU10" s="240"/>
      <c r="AV10" s="87"/>
      <c r="AW10" s="234"/>
      <c r="AX10" s="115"/>
      <c r="AY10" s="115"/>
      <c r="AZ10" s="115"/>
      <c r="BA10" s="115"/>
      <c r="BB10" s="87"/>
      <c r="BC10" s="234"/>
      <c r="BD10" s="240">
        <f>IFERROR(__xludf.DUMMYFUNCTION("""COMPUTED_VALUE"""),3.0)</f>
        <v>3</v>
      </c>
      <c r="BE10" s="87" t="str">
        <f>IFERROR(__xludf.DUMMYFUNCTION("""COMPUTED_VALUE"""),"6.NS.C.8")</f>
        <v>6.NS.C.8</v>
      </c>
      <c r="BF10" s="234" t="str">
        <f>IFERROR(__xludf.DUMMYFUNCTION("""COMPUTED_VALUE"""),"Solve real-world and mathematical problems by graphing points in all four quadrants of the coordinate plane. Include use of coordinates and absolute value to find distances between points with the same first coordinate or the same second coordinate.")</f>
        <v>Solve real-world and mathematical problems by graphing points in all four quadrants of the coordinate plane. Include use of coordinates and absolute value to find distances between points with the same first coordinate or the same second coordinate.</v>
      </c>
      <c r="BG10" s="115" t="b">
        <f>IFERROR(__xludf.DUMMYFUNCTION("""COMPUTED_VALUE"""),TRUE)</f>
        <v>1</v>
      </c>
      <c r="BH10" s="115" t="b">
        <f>IFERROR(__xludf.DUMMYFUNCTION("""COMPUTED_VALUE"""),TRUE)</f>
        <v>1</v>
      </c>
      <c r="BI10" s="115" t="b">
        <f>IFERROR(__xludf.DUMMYFUNCTION("""COMPUTED_VALUE"""),TRUE)</f>
        <v>1</v>
      </c>
      <c r="BJ10" s="115" t="b">
        <f>IFERROR(__xludf.DUMMYFUNCTION("""COMPUTED_VALUE"""),FALSE)</f>
        <v>0</v>
      </c>
      <c r="BK10" s="87" t="str">
        <f>IFERROR(__xludf.DUMMYFUNCTION("""COMPUTED_VALUE"""),"")</f>
        <v/>
      </c>
      <c r="BL10" s="234" t="str">
        <f>IFERROR(__xludf.DUMMYFUNCTION("""COMPUTED_VALUE"""),"R-Useful for algebra
E-foundational number sense for algebraic operations
A-3-5 questions on ACT
L-")</f>
        <v>R-Useful for algebra
E-foundational number sense for algebraic operations
A-3-5 questions on ACT
L-</v>
      </c>
    </row>
    <row r="11" ht="3.75" customHeight="1">
      <c r="A11" s="254"/>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254"/>
      <c r="BH11" s="254"/>
      <c r="BI11" s="254"/>
      <c r="BJ11" s="254"/>
      <c r="BK11" s="254"/>
      <c r="BL11" s="255"/>
    </row>
    <row r="12">
      <c r="A12" s="237" t="s">
        <v>47</v>
      </c>
      <c r="B12" s="233" t="str">
        <f>IFERROR(__xludf.DUMMYFUNCTION("unique('K-M'!M36:U40)"),"")</f>
        <v/>
      </c>
      <c r="C12" s="87" t="str">
        <f>IFERROR(__xludf.DUMMYFUNCTION("""COMPUTED_VALUE"""),"")</f>
        <v/>
      </c>
      <c r="D12" s="234" t="str">
        <f>IFERROR(__xludf.DUMMYFUNCTION("""COMPUTED_VALUE"""),"")</f>
        <v/>
      </c>
      <c r="E12" s="115" t="str">
        <f>IFERROR(__xludf.DUMMYFUNCTION("""COMPUTED_VALUE"""),"")</f>
        <v/>
      </c>
      <c r="F12" s="115" t="str">
        <f>IFERROR(__xludf.DUMMYFUNCTION("""COMPUTED_VALUE"""),"")</f>
        <v/>
      </c>
      <c r="G12" s="115" t="str">
        <f>IFERROR(__xludf.DUMMYFUNCTION("""COMPUTED_VALUE"""),"")</f>
        <v/>
      </c>
      <c r="H12" s="115" t="str">
        <f>IFERROR(__xludf.DUMMYFUNCTION("""COMPUTED_VALUE"""),"")</f>
        <v/>
      </c>
      <c r="I12" s="87" t="str">
        <f>IFERROR(__xludf.DUMMYFUNCTION("""COMPUTED_VALUE"""),"")</f>
        <v/>
      </c>
      <c r="J12" s="234" t="str">
        <f>IFERROR(__xludf.DUMMYFUNCTION("""COMPUTED_VALUE"""),"")</f>
        <v/>
      </c>
      <c r="K12" s="233">
        <f>IFERROR(__xludf.DUMMYFUNCTION("unique('1-M'!M42:U49)"),4.0)</f>
        <v>4</v>
      </c>
      <c r="L12" s="87" t="str">
        <f>IFERROR(__xludf.DUMMYFUNCTION("""COMPUTED_VALUE"""),"1.OA.A.1")</f>
        <v>1.OA.A.1</v>
      </c>
      <c r="M12" s="234" t="str">
        <f>IFERROR(__xludf.DUMMYFUNCTION("""COMPUTED_VALUE"""),"Use addition and subtraction within 20 to solve word problems involving situations of adding to, taking from, putting together, taking apart, and comparing, with unknowns in all positions, e.g., by using objects, drawings, and equations with a symbol for "&amp;"the unknown number to represent the problem.")</f>
        <v>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v>
      </c>
      <c r="N12" s="115" t="b">
        <f>IFERROR(__xludf.DUMMYFUNCTION("""COMPUTED_VALUE"""),TRUE)</f>
        <v>1</v>
      </c>
      <c r="O12" s="115" t="b">
        <f>IFERROR(__xludf.DUMMYFUNCTION("""COMPUTED_VALUE"""),TRUE)</f>
        <v>1</v>
      </c>
      <c r="P12" s="115" t="b">
        <f>IFERROR(__xludf.DUMMYFUNCTION("""COMPUTED_VALUE"""),TRUE)</f>
        <v>1</v>
      </c>
      <c r="Q12" s="115" t="b">
        <f>IFERROR(__xludf.DUMMYFUNCTION("""COMPUTED_VALUE"""),TRUE)</f>
        <v>1</v>
      </c>
      <c r="R12" s="87" t="str">
        <f>IFERROR(__xludf.DUMMYFUNCTION("""COMPUTED_VALUE"""),"")</f>
        <v/>
      </c>
      <c r="S12" s="234" t="str">
        <f>IFERROR(__xludf.DUMMYFUNCTION("""COMPUTED_VALUE"""),"Word problems and problem solving skills are essential in all grades and are assessed.")</f>
        <v>Word problems and problem solving skills are essential in all grades and are assessed.</v>
      </c>
      <c r="T12" s="240" t="str">
        <f>IFERROR(__xludf.DUMMYFUNCTION("unique('2-M'!M48:U51)"),"")</f>
        <v/>
      </c>
      <c r="U12" s="87" t="str">
        <f>IFERROR(__xludf.DUMMYFUNCTION("""COMPUTED_VALUE"""),"")</f>
        <v/>
      </c>
      <c r="V12" s="234" t="str">
        <f>IFERROR(__xludf.DUMMYFUNCTION("""COMPUTED_VALUE"""),"")</f>
        <v/>
      </c>
      <c r="W12" s="115" t="str">
        <f>IFERROR(__xludf.DUMMYFUNCTION("""COMPUTED_VALUE"""),"")</f>
        <v/>
      </c>
      <c r="X12" s="115" t="str">
        <f>IFERROR(__xludf.DUMMYFUNCTION("""COMPUTED_VALUE"""),"")</f>
        <v/>
      </c>
      <c r="Y12" s="115" t="str">
        <f>IFERROR(__xludf.DUMMYFUNCTION("""COMPUTED_VALUE"""),"")</f>
        <v/>
      </c>
      <c r="Z12" s="115" t="str">
        <f>IFERROR(__xludf.DUMMYFUNCTION("""COMPUTED_VALUE"""),"")</f>
        <v/>
      </c>
      <c r="AA12" s="241" t="str">
        <f>IFERROR(__xludf.DUMMYFUNCTION("""COMPUTED_VALUE"""),"")</f>
        <v/>
      </c>
      <c r="AB12" s="234" t="str">
        <f>IFERROR(__xludf.DUMMYFUNCTION("""COMPUTED_VALUE"""),"")</f>
        <v/>
      </c>
      <c r="AC12" s="240">
        <f>IFERROR(__xludf.DUMMYFUNCTION("unique('3-M'!M55:U58)"),4.0)</f>
        <v>4</v>
      </c>
      <c r="AD12" s="87" t="str">
        <f>IFERROR(__xludf.DUMMYFUNCTION("""COMPUTED_VALUE"""),"3.OA.A.1")</f>
        <v>3.OA.A.1</v>
      </c>
      <c r="AE12" s="234" t="str">
        <f>IFERROR(__xludf.DUMMYFUNCTION("""COMPUTED_VALUE"""),"Interpret products of whole numbers, e.g., interpret 5 × 7 as the total number of objects in 5 groups of 7 objects each. For example, describe a context in which a total number of objects can be expressed as 5 × 7.")</f>
        <v>Interpret products of whole numbers, e.g., interpret 5 × 7 as the total number of objects in 5 groups of 7 objects each. For example, describe a context in which a total number of objects can be expressed as 5 × 7.</v>
      </c>
      <c r="AF12" s="115" t="b">
        <f>IFERROR(__xludf.DUMMYFUNCTION("""COMPUTED_VALUE"""),TRUE)</f>
        <v>1</v>
      </c>
      <c r="AG12" s="115" t="b">
        <f>IFERROR(__xludf.DUMMYFUNCTION("""COMPUTED_VALUE"""),TRUE)</f>
        <v>1</v>
      </c>
      <c r="AH12" s="115" t="b">
        <f>IFERROR(__xludf.DUMMYFUNCTION("""COMPUTED_VALUE"""),TRUE)</f>
        <v>1</v>
      </c>
      <c r="AI12" s="115" t="b">
        <f>IFERROR(__xludf.DUMMYFUNCTION("""COMPUTED_VALUE"""),TRUE)</f>
        <v>1</v>
      </c>
      <c r="AJ12" s="87" t="str">
        <f>IFERROR(__xludf.DUMMYFUNCTION("""COMPUTED_VALUE"""),"")</f>
        <v/>
      </c>
      <c r="AK12" s="234" t="str">
        <f>IFERROR(__xludf.DUMMYFUNCTION("""COMPUTED_VALUE"""),"")</f>
        <v/>
      </c>
      <c r="AL12" s="240">
        <f>IFERROR(__xludf.DUMMYFUNCTION("unique('4-M'!M53:U57)"),3.0)</f>
        <v>3</v>
      </c>
      <c r="AM12" s="87" t="str">
        <f>IFERROR(__xludf.DUMMYFUNCTION("""COMPUTED_VALUE"""),"4.OA.A.1")</f>
        <v>4.OA.A.1</v>
      </c>
      <c r="AN12" s="234" t="str">
        <f>IFERROR(__xludf.DUMMYFUNCTION("""COMPUTED_VALUE"""),"Interpret a multiplication equation as a comparison, e.g., interpret 35 = 5 × 7 as a statement that 35 is 5 times as many as 7 and 7 times as many as 5. Represent verbal statements of multiplicative comparisons as multiplication equations.")</f>
        <v>Interpret a multiplication equation as a comparison, e.g., interpret 35 = 5 × 7 as a statement that 35 is 5 times as many as 7 and 7 times as many as 5. Represent verbal statements of multiplicative comparisons as multiplication equations.</v>
      </c>
      <c r="AO12" s="115" t="b">
        <f>IFERROR(__xludf.DUMMYFUNCTION("""COMPUTED_VALUE"""),TRUE)</f>
        <v>1</v>
      </c>
      <c r="AP12" s="115" t="b">
        <f>IFERROR(__xludf.DUMMYFUNCTION("""COMPUTED_VALUE"""),TRUE)</f>
        <v>1</v>
      </c>
      <c r="AQ12" s="115" t="b">
        <f>IFERROR(__xludf.DUMMYFUNCTION("""COMPUTED_VALUE"""),TRUE)</f>
        <v>1</v>
      </c>
      <c r="AR12" s="115" t="b">
        <f>IFERROR(__xludf.DUMMYFUNCTION("""COMPUTED_VALUE"""),FALSE)</f>
        <v>0</v>
      </c>
      <c r="AS12" s="87" t="str">
        <f>IFERROR(__xludf.DUMMYFUNCTION("""COMPUTED_VALUE"""),"")</f>
        <v/>
      </c>
      <c r="AT12" s="234" t="str">
        <f>IFERROR(__xludf.DUMMYFUNCTION("""COMPUTED_VALUE"""),"E - Because of the vocabulary component (multiplicative comparison)")</f>
        <v>E - Because of the vocabulary component (multiplicative comparison)</v>
      </c>
      <c r="AU12" s="240">
        <f>IFERROR(__xludf.DUMMYFUNCTION("unique('5-M'!M57:U59)"),3.0)</f>
        <v>3</v>
      </c>
      <c r="AV12" s="87" t="str">
        <f>IFERROR(__xludf.DUMMYFUNCTION("""COMPUTED_VALUE"""),"5.OA.A.1")</f>
        <v>5.OA.A.1</v>
      </c>
      <c r="AW12" s="234" t="str">
        <f>IFERROR(__xludf.DUMMYFUNCTION("""COMPUTED_VALUE"""),"Use parentheses, brackets, or braces in numerical expressions, and evaluate expressions with these symbols.")</f>
        <v>Use parentheses, brackets, or braces in numerical expressions, and evaluate expressions with these symbols.</v>
      </c>
      <c r="AX12" s="115" t="b">
        <f>IFERROR(__xludf.DUMMYFUNCTION("""COMPUTED_VALUE"""),TRUE)</f>
        <v>1</v>
      </c>
      <c r="AY12" s="115" t="b">
        <f>IFERROR(__xludf.DUMMYFUNCTION("""COMPUTED_VALUE"""),TRUE)</f>
        <v>1</v>
      </c>
      <c r="AZ12" s="115" t="b">
        <f>IFERROR(__xludf.DUMMYFUNCTION("""COMPUTED_VALUE"""),TRUE)</f>
        <v>1</v>
      </c>
      <c r="BA12" s="115" t="b">
        <f>IFERROR(__xludf.DUMMYFUNCTION("""COMPUTED_VALUE"""),FALSE)</f>
        <v>0</v>
      </c>
      <c r="BB12" s="87" t="str">
        <f>IFERROR(__xludf.DUMMYFUNCTION("""COMPUTED_VALUE"""),"")</f>
        <v/>
      </c>
      <c r="BC12" s="234" t="str">
        <f>IFERROR(__xludf.DUMMYFUNCTION("""COMPUTED_VALUE"""),"R-required for 6th
E-useful throughout the year, often used in multi-step problems
A-3-5 test questions")</f>
        <v>R-required for 6th
E-useful throughout the year, often used in multi-step problems
A-3-5 test questions</v>
      </c>
      <c r="BD12" s="240">
        <f>IFERROR(__xludf.DUMMYFUNCTION("unique('6-M'!M71:U82)"),3.0)</f>
        <v>3</v>
      </c>
      <c r="BE12" s="87" t="str">
        <f>IFERROR(__xludf.DUMMYFUNCTION("""COMPUTED_VALUE"""),"6.EE.A.1")</f>
        <v>6.EE.A.1</v>
      </c>
      <c r="BF12" s="234" t="str">
        <f>IFERROR(__xludf.DUMMYFUNCTION("""COMPUTED_VALUE"""),"Write and evaluate numerical expressions involving whole-number exponents.")</f>
        <v>Write and evaluate numerical expressions involving whole-number exponents.</v>
      </c>
      <c r="BG12" s="115" t="b">
        <f>IFERROR(__xludf.DUMMYFUNCTION("""COMPUTED_VALUE"""),TRUE)</f>
        <v>1</v>
      </c>
      <c r="BH12" s="115" t="b">
        <f>IFERROR(__xludf.DUMMYFUNCTION("""COMPUTED_VALUE"""),TRUE)</f>
        <v>1</v>
      </c>
      <c r="BI12" s="115" t="b">
        <f>IFERROR(__xludf.DUMMYFUNCTION("""COMPUTED_VALUE"""),TRUE)</f>
        <v>1</v>
      </c>
      <c r="BJ12" s="115" t="b">
        <f>IFERROR(__xludf.DUMMYFUNCTION("""COMPUTED_VALUE"""),FALSE)</f>
        <v>0</v>
      </c>
      <c r="BK12" s="87" t="str">
        <f>IFERROR(__xludf.DUMMYFUNCTION("""COMPUTED_VALUE"""),"")</f>
        <v/>
      </c>
      <c r="BL12" s="234" t="str">
        <f>IFERROR(__xludf.DUMMYFUNCTION("""COMPUTED_VALUE"""),"R- used till 12th
E- comes up again with higher DoK questions
A- 3-5 questions on ACT
L-")</f>
        <v>R- used till 12th
E- comes up again with higher DoK questions
A- 3-5 questions on ACT
L-</v>
      </c>
    </row>
    <row r="13">
      <c r="A13" s="211"/>
      <c r="B13" s="233"/>
      <c r="C13" s="87"/>
      <c r="D13" s="234"/>
      <c r="E13" s="115"/>
      <c r="F13" s="115"/>
      <c r="G13" s="115"/>
      <c r="H13" s="115"/>
      <c r="I13" s="87"/>
      <c r="J13" s="234"/>
      <c r="K13" s="233" t="str">
        <f>IFERROR(__xludf.DUMMYFUNCTION("""COMPUTED_VALUE"""),"")</f>
        <v/>
      </c>
      <c r="L13" s="87" t="str">
        <f>IFERROR(__xludf.DUMMYFUNCTION("""COMPUTED_VALUE"""),"")</f>
        <v/>
      </c>
      <c r="M13" s="234" t="str">
        <f>IFERROR(__xludf.DUMMYFUNCTION("""COMPUTED_VALUE"""),"")</f>
        <v/>
      </c>
      <c r="N13" s="115" t="str">
        <f>IFERROR(__xludf.DUMMYFUNCTION("""COMPUTED_VALUE"""),"")</f>
        <v/>
      </c>
      <c r="O13" s="115" t="str">
        <f>IFERROR(__xludf.DUMMYFUNCTION("""COMPUTED_VALUE"""),"")</f>
        <v/>
      </c>
      <c r="P13" s="115" t="str">
        <f>IFERROR(__xludf.DUMMYFUNCTION("""COMPUTED_VALUE"""),"")</f>
        <v/>
      </c>
      <c r="Q13" s="115" t="str">
        <f>IFERROR(__xludf.DUMMYFUNCTION("""COMPUTED_VALUE"""),"")</f>
        <v/>
      </c>
      <c r="R13" s="87" t="str">
        <f>IFERROR(__xludf.DUMMYFUNCTION("""COMPUTED_VALUE"""),"")</f>
        <v/>
      </c>
      <c r="S13" s="234" t="str">
        <f>IFERROR(__xludf.DUMMYFUNCTION("""COMPUTED_VALUE"""),"")</f>
        <v/>
      </c>
      <c r="T13" s="240">
        <f>IFERROR(__xludf.DUMMYFUNCTION("""COMPUTED_VALUE"""),0.0)</f>
        <v>0</v>
      </c>
      <c r="U13" s="87" t="str">
        <f>IFERROR(__xludf.DUMMYFUNCTION("""COMPUTED_VALUE"""),"")</f>
        <v/>
      </c>
      <c r="V13" s="234" t="str">
        <f>IFERROR(__xludf.DUMMYFUNCTION("""COMPUTED_VALUE"""),"")</f>
        <v/>
      </c>
      <c r="W13" s="115" t="str">
        <f>IFERROR(__xludf.DUMMYFUNCTION("""COMPUTED_VALUE"""),"")</f>
        <v/>
      </c>
      <c r="X13" s="115" t="str">
        <f>IFERROR(__xludf.DUMMYFUNCTION("""COMPUTED_VALUE"""),"")</f>
        <v/>
      </c>
      <c r="Y13" s="115" t="str">
        <f>IFERROR(__xludf.DUMMYFUNCTION("""COMPUTED_VALUE"""),"")</f>
        <v/>
      </c>
      <c r="Z13" s="115" t="str">
        <f>IFERROR(__xludf.DUMMYFUNCTION("""COMPUTED_VALUE"""),"")</f>
        <v/>
      </c>
      <c r="AA13" s="241" t="str">
        <f>IFERROR(__xludf.DUMMYFUNCTION("""COMPUTED_VALUE"""),"")</f>
        <v/>
      </c>
      <c r="AB13" s="234" t="str">
        <f>IFERROR(__xludf.DUMMYFUNCTION("""COMPUTED_VALUE"""),"")</f>
        <v/>
      </c>
      <c r="AC13" s="240">
        <f>IFERROR(__xludf.DUMMYFUNCTION("""COMPUTED_VALUE"""),4.0)</f>
        <v>4</v>
      </c>
      <c r="AD13" s="87" t="str">
        <f>IFERROR(__xludf.DUMMYFUNCTION("""COMPUTED_VALUE"""),"3.OA.A.2")</f>
        <v>3.OA.A.2</v>
      </c>
      <c r="AE13" s="234" t="str">
        <f>IFERROR(__xludf.DUMMYFUNCTION("""COMPUTED_VALUE"""),"Interpret whole-number quotients of whole numbers, e.g., interpret 56 ÷ 8 as the number of objects in each share when 56 objects are partitioned equally into 8 shares, or as a number of shares when 56 objects are partitioned into equal shares of 8 objects"&amp;" each. For example, describe a context in which a number of shares or a number of groups can be expressed as 56 ÷ 8.")</f>
        <v>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v>
      </c>
      <c r="AF13" s="115" t="b">
        <f>IFERROR(__xludf.DUMMYFUNCTION("""COMPUTED_VALUE"""),TRUE)</f>
        <v>1</v>
      </c>
      <c r="AG13" s="115" t="b">
        <f>IFERROR(__xludf.DUMMYFUNCTION("""COMPUTED_VALUE"""),TRUE)</f>
        <v>1</v>
      </c>
      <c r="AH13" s="115" t="b">
        <f>IFERROR(__xludf.DUMMYFUNCTION("""COMPUTED_VALUE"""),TRUE)</f>
        <v>1</v>
      </c>
      <c r="AI13" s="115" t="b">
        <f>IFERROR(__xludf.DUMMYFUNCTION("""COMPUTED_VALUE"""),TRUE)</f>
        <v>1</v>
      </c>
      <c r="AJ13" s="87" t="str">
        <f>IFERROR(__xludf.DUMMYFUNCTION("""COMPUTED_VALUE"""),"")</f>
        <v/>
      </c>
      <c r="AK13" s="234" t="str">
        <f>IFERROR(__xludf.DUMMYFUNCTION("""COMPUTED_VALUE"""),"")</f>
        <v/>
      </c>
      <c r="AL13" s="240" t="str">
        <f>IFERROR(__xludf.DUMMYFUNCTION("""COMPUTED_VALUE"""),"")</f>
        <v/>
      </c>
      <c r="AM13" s="87" t="str">
        <f>IFERROR(__xludf.DUMMYFUNCTION("""COMPUTED_VALUE"""),"")</f>
        <v/>
      </c>
      <c r="AN13" s="234" t="str">
        <f>IFERROR(__xludf.DUMMYFUNCTION("""COMPUTED_VALUE"""),"")</f>
        <v/>
      </c>
      <c r="AO13" s="115" t="str">
        <f>IFERROR(__xludf.DUMMYFUNCTION("""COMPUTED_VALUE"""),"")</f>
        <v/>
      </c>
      <c r="AP13" s="115" t="str">
        <f>IFERROR(__xludf.DUMMYFUNCTION("""COMPUTED_VALUE"""),"")</f>
        <v/>
      </c>
      <c r="AQ13" s="115" t="str">
        <f>IFERROR(__xludf.DUMMYFUNCTION("""COMPUTED_VALUE"""),"")</f>
        <v/>
      </c>
      <c r="AR13" s="115" t="str">
        <f>IFERROR(__xludf.DUMMYFUNCTION("""COMPUTED_VALUE"""),"")</f>
        <v/>
      </c>
      <c r="AS13" s="87" t="str">
        <f>IFERROR(__xludf.DUMMYFUNCTION("""COMPUTED_VALUE"""),"")</f>
        <v/>
      </c>
      <c r="AT13" s="234" t="str">
        <f>IFERROR(__xludf.DUMMYFUNCTION("""COMPUTED_VALUE"""),"")</f>
        <v/>
      </c>
      <c r="AU13" s="240">
        <f>IFERROR(__xludf.DUMMYFUNCTION("""COMPUTED_VALUE"""),3.0)</f>
        <v>3</v>
      </c>
      <c r="AV13" s="87" t="str">
        <f>IFERROR(__xludf.DUMMYFUNCTION("""COMPUTED_VALUE"""),"5.OA.A.2")</f>
        <v>5.OA.A.2</v>
      </c>
      <c r="AW13" s="234" t="str">
        <f>IFERROR(__xludf.DUMMYFUNCTION("""COMPUTED_VALUE"""),"Write simple expressions that record calculations with numbers, and interpret numerical expressions without evaluating them. For example, express the calculation “add 8 and 7, then multiply by 2” as 2 × (8 + 7). Recognize that 3 × (18932 + 921) is three t"&amp;"imes as large as 18932 + 921, without having to calculate the indicated sum or product.")</f>
        <v>Write simple expressions that record calculations with numbers, and interpret numerical expressions without evaluating them. For example, express the calculation “add 8 and 7, then multiply by 2” as 2 × (8 + 7). Recognize that 3 × (18932 + 921) is three times as large as 18932 + 921, without having to calculate the indicated sum or product.</v>
      </c>
      <c r="AX13" s="115" t="b">
        <f>IFERROR(__xludf.DUMMYFUNCTION("""COMPUTED_VALUE"""),TRUE)</f>
        <v>1</v>
      </c>
      <c r="AY13" s="115" t="b">
        <f>IFERROR(__xludf.DUMMYFUNCTION("""COMPUTED_VALUE"""),TRUE)</f>
        <v>1</v>
      </c>
      <c r="AZ13" s="115" t="b">
        <f>IFERROR(__xludf.DUMMYFUNCTION("""COMPUTED_VALUE"""),TRUE)</f>
        <v>1</v>
      </c>
      <c r="BA13" s="115" t="b">
        <f>IFERROR(__xludf.DUMMYFUNCTION("""COMPUTED_VALUE"""),FALSE)</f>
        <v>0</v>
      </c>
      <c r="BB13" s="87" t="str">
        <f>IFERROR(__xludf.DUMMYFUNCTION("""COMPUTED_VALUE"""),"")</f>
        <v/>
      </c>
      <c r="BC13" s="234" t="str">
        <f>IFERROR(__xludf.DUMMYFUNCTION("""COMPUTED_VALUE"""),"R-required for 6th
E-useful throughout the year
A-3-5 test questions")</f>
        <v>R-required for 6th
E-useful throughout the year
A-3-5 test questions</v>
      </c>
      <c r="BD13" s="240" t="str">
        <f>IFERROR(__xludf.DUMMYFUNCTION("""COMPUTED_VALUE"""),"")</f>
        <v/>
      </c>
      <c r="BE13" s="87" t="str">
        <f>IFERROR(__xludf.DUMMYFUNCTION("""COMPUTED_VALUE"""),"")</f>
        <v/>
      </c>
      <c r="BF13" s="234" t="str">
        <f>IFERROR(__xludf.DUMMYFUNCTION("""COMPUTED_VALUE"""),"")</f>
        <v/>
      </c>
      <c r="BG13" s="115" t="str">
        <f>IFERROR(__xludf.DUMMYFUNCTION("""COMPUTED_VALUE"""),"")</f>
        <v/>
      </c>
      <c r="BH13" s="115" t="str">
        <f>IFERROR(__xludf.DUMMYFUNCTION("""COMPUTED_VALUE"""),"")</f>
        <v/>
      </c>
      <c r="BI13" s="115" t="str">
        <f>IFERROR(__xludf.DUMMYFUNCTION("""COMPUTED_VALUE"""),"")</f>
        <v/>
      </c>
      <c r="BJ13" s="115" t="str">
        <f>IFERROR(__xludf.DUMMYFUNCTION("""COMPUTED_VALUE"""),"")</f>
        <v/>
      </c>
      <c r="BK13" s="87" t="str">
        <f>IFERROR(__xludf.DUMMYFUNCTION("""COMPUTED_VALUE"""),"")</f>
        <v/>
      </c>
      <c r="BL13" s="234" t="str">
        <f>IFERROR(__xludf.DUMMYFUNCTION("""COMPUTED_VALUE"""),"")</f>
        <v/>
      </c>
    </row>
    <row r="14">
      <c r="A14" s="211"/>
      <c r="B14" s="233"/>
      <c r="C14" s="87"/>
      <c r="D14" s="234"/>
      <c r="E14" s="115"/>
      <c r="F14" s="115"/>
      <c r="G14" s="115"/>
      <c r="H14" s="115"/>
      <c r="I14" s="87"/>
      <c r="J14" s="234"/>
      <c r="K14" s="233">
        <f>IFERROR(__xludf.DUMMYFUNCTION("""COMPUTED_VALUE"""),3.0)</f>
        <v>3</v>
      </c>
      <c r="L14" s="87" t="str">
        <f>IFERROR(__xludf.DUMMYFUNCTION("""COMPUTED_VALUE"""),"1.OA.B.2")</f>
        <v>1.OA.B.2</v>
      </c>
      <c r="M14" s="234" t="str">
        <f>IFERROR(__xludf.DUMMYFUNCTION("""COMPUTED_VALUE"""),"Apply properties of operations as strategies to add and subtract. Examples: If 8 + 3 = 11 is known, then 3 + 8 = 11 is also known. (Commutative property of addition.) To add 2 + 6 + 4, the second two numbers can be added to make a ten, so 2 + 6 + 4 = 2 + "&amp;"10 = 12. (Associative property of addition.)")</f>
        <v>Apply properties of operations as strategies to add and subtract. Examples: If 8 + 3 = 11 is known, then 3 + 8 = 11 is also known. (Commutative property of addition.) To add 2 + 6 + 4, the second two numbers can be added to make a ten, so 2 + 6 + 4 = 2 + 10 = 12. (Associative property of addition.)</v>
      </c>
      <c r="N14" s="115" t="b">
        <f>IFERROR(__xludf.DUMMYFUNCTION("""COMPUTED_VALUE"""),TRUE)</f>
        <v>1</v>
      </c>
      <c r="O14" s="115" t="b">
        <f>IFERROR(__xludf.DUMMYFUNCTION("""COMPUTED_VALUE"""),TRUE)</f>
        <v>1</v>
      </c>
      <c r="P14" s="115" t="b">
        <f>IFERROR(__xludf.DUMMYFUNCTION("""COMPUTED_VALUE"""),TRUE)</f>
        <v>1</v>
      </c>
      <c r="Q14" s="115" t="b">
        <f>IFERROR(__xludf.DUMMYFUNCTION("""COMPUTED_VALUE"""),FALSE)</f>
        <v>0</v>
      </c>
      <c r="R14" s="87" t="str">
        <f>IFERROR(__xludf.DUMMYFUNCTION("""COMPUTED_VALUE"""),"")</f>
        <v/>
      </c>
      <c r="S14" s="234" t="str">
        <f>IFERROR(__xludf.DUMMYFUNCTION("""COMPUTED_VALUE"""),"These properties will be built upon and assessed in this grade and beyond.")</f>
        <v>These properties will be built upon and assessed in this grade and beyond.</v>
      </c>
      <c r="T14" s="240"/>
      <c r="U14" s="87"/>
      <c r="V14" s="234"/>
      <c r="W14" s="115"/>
      <c r="X14" s="115"/>
      <c r="Y14" s="115"/>
      <c r="Z14" s="115"/>
      <c r="AA14" s="241"/>
      <c r="AB14" s="234"/>
      <c r="AC14" s="240" t="str">
        <f>IFERROR(__xludf.DUMMYFUNCTION("""COMPUTED_VALUE"""),"")</f>
        <v/>
      </c>
      <c r="AD14" s="87" t="str">
        <f>IFERROR(__xludf.DUMMYFUNCTION("""COMPUTED_VALUE"""),"")</f>
        <v/>
      </c>
      <c r="AE14" s="234" t="str">
        <f>IFERROR(__xludf.DUMMYFUNCTION("""COMPUTED_VALUE"""),"")</f>
        <v/>
      </c>
      <c r="AF14" s="115" t="str">
        <f>IFERROR(__xludf.DUMMYFUNCTION("""COMPUTED_VALUE"""),"")</f>
        <v/>
      </c>
      <c r="AG14" s="115" t="str">
        <f>IFERROR(__xludf.DUMMYFUNCTION("""COMPUTED_VALUE"""),"")</f>
        <v/>
      </c>
      <c r="AH14" s="115" t="str">
        <f>IFERROR(__xludf.DUMMYFUNCTION("""COMPUTED_VALUE"""),"")</f>
        <v/>
      </c>
      <c r="AI14" s="115" t="str">
        <f>IFERROR(__xludf.DUMMYFUNCTION("""COMPUTED_VALUE"""),"")</f>
        <v/>
      </c>
      <c r="AJ14" s="87" t="str">
        <f>IFERROR(__xludf.DUMMYFUNCTION("""COMPUTED_VALUE"""),"")</f>
        <v/>
      </c>
      <c r="AK14" s="234" t="str">
        <f>IFERROR(__xludf.DUMMYFUNCTION("""COMPUTED_VALUE"""),"")</f>
        <v/>
      </c>
      <c r="AL14" s="240">
        <f>IFERROR(__xludf.DUMMYFUNCTION("""COMPUTED_VALUE"""),4.0)</f>
        <v>4</v>
      </c>
      <c r="AM14" s="87" t="str">
        <f>IFERROR(__xludf.DUMMYFUNCTION("""COMPUTED_VALUE"""),"4.OA.A.3")</f>
        <v>4.OA.A.3</v>
      </c>
      <c r="AN14" s="234" t="str">
        <f>IFERROR(__xludf.DUMMYFUNCTION("""COMPUTED_VALUE"""),"Solve multistep word problems posed with whole numbers and having whole-number answers using the four operations, including problems in which remainders must be interpreted. Represent these problems using equations with a letter standing for the unknown q"&amp;"uantity. Assess the reasonableness of answers using mental computation and estimation strategies including rounding.")</f>
        <v>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v>
      </c>
      <c r="AO14" s="115" t="b">
        <f>IFERROR(__xludf.DUMMYFUNCTION("""COMPUTED_VALUE"""),TRUE)</f>
        <v>1</v>
      </c>
      <c r="AP14" s="115" t="b">
        <f>IFERROR(__xludf.DUMMYFUNCTION("""COMPUTED_VALUE"""),TRUE)</f>
        <v>1</v>
      </c>
      <c r="AQ14" s="115" t="b">
        <f>IFERROR(__xludf.DUMMYFUNCTION("""COMPUTED_VALUE"""),TRUE)</f>
        <v>1</v>
      </c>
      <c r="AR14" s="115" t="b">
        <f>IFERROR(__xludf.DUMMYFUNCTION("""COMPUTED_VALUE"""),TRUE)</f>
        <v>1</v>
      </c>
      <c r="AS14" s="87" t="str">
        <f>IFERROR(__xludf.DUMMYFUNCTION("""COMPUTED_VALUE"""),"")</f>
        <v/>
      </c>
      <c r="AT14" s="234" t="str">
        <f>IFERROR(__xludf.DUMMYFUNCTION("""COMPUTED_VALUE"""),"Should be integrated in assessments through DOK questions focused on this skill. Emphasize justification!")</f>
        <v>Should be integrated in assessments through DOK questions focused on this skill. Emphasize justification!</v>
      </c>
      <c r="AU14" s="240">
        <f>IFERROR(__xludf.DUMMYFUNCTION("""COMPUTED_VALUE"""),3.0)</f>
        <v>3</v>
      </c>
      <c r="AV14" s="87" t="str">
        <f>IFERROR(__xludf.DUMMYFUNCTION("""COMPUTED_VALUE"""),"5.OA.B.3")</f>
        <v>5.OA.B.3</v>
      </c>
      <c r="AW14" s="234" t="str">
        <f>IFERROR(__xludf.DUMMYFUNCTION("""COMPUTED_VALUE"""),"Generate two numerical patterns using two given rules. Identify apparent relationships between corresponding terms. Form ordered pairs consisting of corresponding terms from the two patterns, and graph the ordered pairs on a coordinate plane. For example,"&amp;" given the rule “Add 3” and the starting number 0, and given the rule “Add 6” and the starting number 0, generate terms in the resulting sequences, and observe that the terms in one sequence are twice the corresponding terms in the other sequence. Explain"&amp;" informally why this is so.")</f>
        <v>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v>
      </c>
      <c r="AX14" s="115" t="b">
        <f>IFERROR(__xludf.DUMMYFUNCTION("""COMPUTED_VALUE"""),TRUE)</f>
        <v>1</v>
      </c>
      <c r="AY14" s="115" t="b">
        <f>IFERROR(__xludf.DUMMYFUNCTION("""COMPUTED_VALUE"""),FALSE)</f>
        <v>0</v>
      </c>
      <c r="AZ14" s="115" t="b">
        <f>IFERROR(__xludf.DUMMYFUNCTION("""COMPUTED_VALUE"""),TRUE)</f>
        <v>1</v>
      </c>
      <c r="BA14" s="115" t="b">
        <f>IFERROR(__xludf.DUMMYFUNCTION("""COMPUTED_VALUE"""),TRUE)</f>
        <v>1</v>
      </c>
      <c r="BB14" s="87" t="str">
        <f>IFERROR(__xludf.DUMMYFUNCTION("""COMPUTED_VALUE"""),"")</f>
        <v/>
      </c>
      <c r="BC14" s="234" t="str">
        <f>IFERROR(__xludf.DUMMYFUNCTION("""COMPUTED_VALUE"""),"R-required for 6th
A-3-5 test questions
L-science experiments, analyzing patterns (crosscutting concept in science)")</f>
        <v>R-required for 6th
A-3-5 test questions
L-science experiments, analyzing patterns (crosscutting concept in science)</v>
      </c>
      <c r="BD14" s="240">
        <f>IFERROR(__xludf.DUMMYFUNCTION("""COMPUTED_VALUE"""),4.0)</f>
        <v>4</v>
      </c>
      <c r="BE14" s="87" t="str">
        <f>IFERROR(__xludf.DUMMYFUNCTION("""COMPUTED_VALUE"""),"6.EE.B.7")</f>
        <v>6.EE.B.7</v>
      </c>
      <c r="BF14" s="234" t="str">
        <f>IFERROR(__xludf.DUMMYFUNCTION("""COMPUTED_VALUE"""),"Solve real-world and mathematical problems by writing and solving equations of the form x + p = q and px = q for cases in which p, q and x are all nonnegative rational numbers.")</f>
        <v>Solve real-world and mathematical problems by writing and solving equations of the form x + p = q and px = q for cases in which p, q and x are all nonnegative rational numbers.</v>
      </c>
      <c r="BG14" s="115" t="b">
        <f>IFERROR(__xludf.DUMMYFUNCTION("""COMPUTED_VALUE"""),TRUE)</f>
        <v>1</v>
      </c>
      <c r="BH14" s="115" t="b">
        <f>IFERROR(__xludf.DUMMYFUNCTION("""COMPUTED_VALUE"""),TRUE)</f>
        <v>1</v>
      </c>
      <c r="BI14" s="115" t="b">
        <f>IFERROR(__xludf.DUMMYFUNCTION("""COMPUTED_VALUE"""),TRUE)</f>
        <v>1</v>
      </c>
      <c r="BJ14" s="115" t="b">
        <f>IFERROR(__xludf.DUMMYFUNCTION("""COMPUTED_VALUE"""),TRUE)</f>
        <v>1</v>
      </c>
      <c r="BK14" s="87" t="str">
        <f>IFERROR(__xludf.DUMMYFUNCTION("""COMPUTED_VALUE"""),"")</f>
        <v/>
      </c>
      <c r="BL14" s="234" t="str">
        <f>IFERROR(__xludf.DUMMYFUNCTION("""COMPUTED_VALUE"""),"R- used past 12th
E- solving for unknowns, part of DoK3's
A- 3-5 questions
L- used to make predictions in science")</f>
        <v>R- used past 12th
E- solving for unknowns, part of DoK3's
A- 3-5 questions
L- used to make predictions in science</v>
      </c>
    </row>
    <row r="15">
      <c r="A15" s="211"/>
      <c r="B15" s="233"/>
      <c r="C15" s="87"/>
      <c r="D15" s="234"/>
      <c r="E15" s="115"/>
      <c r="F15" s="115"/>
      <c r="G15" s="115"/>
      <c r="H15" s="115"/>
      <c r="I15" s="87"/>
      <c r="J15" s="234"/>
      <c r="K15" s="233">
        <f>IFERROR(__xludf.DUMMYFUNCTION("""COMPUTED_VALUE"""),4.0)</f>
        <v>4</v>
      </c>
      <c r="L15" s="87" t="str">
        <f>IFERROR(__xludf.DUMMYFUNCTION("""COMPUTED_VALUE"""),"1.OA.C.6")</f>
        <v>1.OA.C.6</v>
      </c>
      <c r="M15" s="234" t="str">
        <f>IFERROR(__xludf.DUMMYFUNCTION("""COMPUTED_VALUE"""),"Add and subtract within 20, demonstrating fluency for addition and subtraction within 10. Use strategies such as counting on; making ten (e.g., 8 + 6 = 8 + 2 + 4 = 10 + 4 = 14); decomposing a number leading to a ten (e.g., 13 – 4 = 13 – 3 – 1 = 10 – 1 = 9"&amp;"); using the relationship between addition and subtraction (e.g., knowing that 8 + 4 = 12, one knows 12 – 8 = 4); and creating equivalent but easier or known sums (e.g., adding 6 + 7 by creating the known equivalent 6 + 6 + 1 = 12 + 1 = 13).")</f>
        <v>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v>
      </c>
      <c r="N15" s="115" t="b">
        <f>IFERROR(__xludf.DUMMYFUNCTION("""COMPUTED_VALUE"""),TRUE)</f>
        <v>1</v>
      </c>
      <c r="O15" s="115" t="b">
        <f>IFERROR(__xludf.DUMMYFUNCTION("""COMPUTED_VALUE"""),TRUE)</f>
        <v>1</v>
      </c>
      <c r="P15" s="115" t="b">
        <f>IFERROR(__xludf.DUMMYFUNCTION("""COMPUTED_VALUE"""),TRUE)</f>
        <v>1</v>
      </c>
      <c r="Q15" s="115" t="b">
        <f>IFERROR(__xludf.DUMMYFUNCTION("""COMPUTED_VALUE"""),TRUE)</f>
        <v>1</v>
      </c>
      <c r="R15" s="87" t="str">
        <f>IFERROR(__xludf.DUMMYFUNCTION("""COMPUTED_VALUE"""),"")</f>
        <v/>
      </c>
      <c r="S15" s="234" t="str">
        <f>IFERROR(__xludf.DUMMYFUNCTION("""COMPUTED_VALUE"""),"Introduction of addition and subtraction, will be assessed and carried forward in other grades.")</f>
        <v>Introduction of addition and subtraction, will be assessed and carried forward in other grades.</v>
      </c>
      <c r="T15" s="240"/>
      <c r="U15" s="87"/>
      <c r="V15" s="234"/>
      <c r="W15" s="115"/>
      <c r="X15" s="115"/>
      <c r="Y15" s="115"/>
      <c r="Z15" s="115"/>
      <c r="AA15" s="241"/>
      <c r="AB15" s="234"/>
      <c r="AC15" s="240"/>
      <c r="AD15" s="87"/>
      <c r="AE15" s="234"/>
      <c r="AF15" s="115"/>
      <c r="AG15" s="115"/>
      <c r="AH15" s="115"/>
      <c r="AI15" s="115"/>
      <c r="AJ15" s="87"/>
      <c r="AK15" s="234"/>
      <c r="AL15" s="240">
        <f>IFERROR(__xludf.DUMMYFUNCTION("""COMPUTED_VALUE"""),3.0)</f>
        <v>3</v>
      </c>
      <c r="AM15" s="87" t="str">
        <f>IFERROR(__xludf.DUMMYFUNCTION("""COMPUTED_VALUE"""),"4.OA.B.4")</f>
        <v>4.OA.B.4</v>
      </c>
      <c r="AN15" s="234" t="str">
        <f>IFERROR(__xludf.DUMMYFUNCTION("""COMPUTED_VALUE"""),"Find all factor pairs for a whole number in the range 1–100. Recognize that a whole number is a multiple of each of its factors. Determine whether a given whole number in the range 1–100 is a multiple of a given one-digit number. Determine whether a given"&amp;" whole number in the range 1–100 is prime or composite.")</f>
        <v>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v>
      </c>
      <c r="AO15" s="115" t="b">
        <f>IFERROR(__xludf.DUMMYFUNCTION("""COMPUTED_VALUE"""),TRUE)</f>
        <v>1</v>
      </c>
      <c r="AP15" s="115" t="b">
        <f>IFERROR(__xludf.DUMMYFUNCTION("""COMPUTED_VALUE"""),TRUE)</f>
        <v>1</v>
      </c>
      <c r="AQ15" s="115" t="b">
        <f>IFERROR(__xludf.DUMMYFUNCTION("""COMPUTED_VALUE"""),TRUE)</f>
        <v>1</v>
      </c>
      <c r="AR15" s="115" t="b">
        <f>IFERROR(__xludf.DUMMYFUNCTION("""COMPUTED_VALUE"""),FALSE)</f>
        <v>0</v>
      </c>
      <c r="AS15" s="87" t="str">
        <f>IFERROR(__xludf.DUMMYFUNCTION("""COMPUTED_VALUE"""),"")</f>
        <v/>
      </c>
      <c r="AT15" s="234" t="str">
        <f>IFERROR(__xludf.DUMMYFUNCTION("""COMPUTED_VALUE"""),"essential")</f>
        <v>essential</v>
      </c>
      <c r="AU15" s="240"/>
      <c r="AV15" s="87"/>
      <c r="AW15" s="234"/>
      <c r="AX15" s="115"/>
      <c r="AY15" s="115"/>
      <c r="AZ15" s="115"/>
      <c r="BA15" s="115"/>
      <c r="BB15" s="87"/>
      <c r="BC15" s="234"/>
      <c r="BD15" s="240">
        <f>IFERROR(__xludf.DUMMYFUNCTION("""COMPUTED_VALUE"""),3.0)</f>
        <v>3</v>
      </c>
      <c r="BE15" s="87" t="str">
        <f>IFERROR(__xludf.DUMMYFUNCTION("""COMPUTED_VALUE"""),"6.EE.B.8")</f>
        <v>6.EE.B.8</v>
      </c>
      <c r="BF15" s="234" t="str">
        <f>IFERROR(__xludf.DUMMYFUNCTION("""COMPUTED_VALUE"""),"Write an inequality of the form x &gt; c or x &lt; c to represent a constraint or condition in a real-world or mathematical problem. Recognize that inequalities of the form x &gt; c or x &lt; c have infinitely many solutions; represent solutions of such inequalities "&amp;"on number line diagrams.")</f>
        <v>Write an inequality of the form x &gt; c or x &lt; c to represent a constraint or condition in a real-world or mathematical problem. Recognize that inequalities of the form x &gt; c or x &lt; c have infinitely many solutions; represent solutions of such inequalities on number line diagrams.</v>
      </c>
      <c r="BG15" s="115" t="b">
        <f>IFERROR(__xludf.DUMMYFUNCTION("""COMPUTED_VALUE"""),TRUE)</f>
        <v>1</v>
      </c>
      <c r="BH15" s="115" t="b">
        <f>IFERROR(__xludf.DUMMYFUNCTION("""COMPUTED_VALUE"""),FALSE)</f>
        <v>0</v>
      </c>
      <c r="BI15" s="115" t="b">
        <f>IFERROR(__xludf.DUMMYFUNCTION("""COMPUTED_VALUE"""),TRUE)</f>
        <v>1</v>
      </c>
      <c r="BJ15" s="115" t="b">
        <f>IFERROR(__xludf.DUMMYFUNCTION("""COMPUTED_VALUE"""),TRUE)</f>
        <v>1</v>
      </c>
      <c r="BK15" s="87" t="str">
        <f>IFERROR(__xludf.DUMMYFUNCTION("""COMPUTED_VALUE"""),"")</f>
        <v/>
      </c>
      <c r="BL15" s="234" t="str">
        <f>IFERROR(__xludf.DUMMYFUNCTION("""COMPUTED_VALUE"""),"R- used past 12th
A- 3-5 questions
L- used to make predictions in science")</f>
        <v>R- used past 12th
A- 3-5 questions
L- used to make predictions in science</v>
      </c>
    </row>
    <row r="16">
      <c r="A16" s="211"/>
      <c r="B16" s="233"/>
      <c r="C16" s="87"/>
      <c r="D16" s="234"/>
      <c r="E16" s="115"/>
      <c r="F16" s="115"/>
      <c r="G16" s="115"/>
      <c r="H16" s="115"/>
      <c r="I16" s="87"/>
      <c r="J16" s="234"/>
      <c r="K16" s="233">
        <f>IFERROR(__xludf.DUMMYFUNCTION("""COMPUTED_VALUE"""),4.0)</f>
        <v>4</v>
      </c>
      <c r="L16" s="87" t="str">
        <f>IFERROR(__xludf.DUMMYFUNCTION("""COMPUTED_VALUE"""),"1.OA.D.7")</f>
        <v>1.OA.D.7</v>
      </c>
      <c r="M16" s="234" t="str">
        <f>IFERROR(__xludf.DUMMYFUNCTION("""COMPUTED_VALUE"""),"Understand the meaning of the equal sign, and determine if equations involving addition and subtraction are true or false. For example, which of the following equations are true and which are false? 6 = 6, 7 = 8 – 1, 5 + 2 = 2 + 5, 4 + 1 = 5 + 2.")</f>
        <v>Understand the meaning of the equal sign, and determine if equations involving addition and subtraction are true or false. For example, which of the following equations are true and which are false? 6 = 6, 7 = 8 – 1, 5 + 2 = 2 + 5, 4 + 1 = 5 + 2.</v>
      </c>
      <c r="N16" s="115" t="b">
        <f>IFERROR(__xludf.DUMMYFUNCTION("""COMPUTED_VALUE"""),TRUE)</f>
        <v>1</v>
      </c>
      <c r="O16" s="115" t="b">
        <f>IFERROR(__xludf.DUMMYFUNCTION("""COMPUTED_VALUE"""),TRUE)</f>
        <v>1</v>
      </c>
      <c r="P16" s="115" t="b">
        <f>IFERROR(__xludf.DUMMYFUNCTION("""COMPUTED_VALUE"""),TRUE)</f>
        <v>1</v>
      </c>
      <c r="Q16" s="115" t="b">
        <f>IFERROR(__xludf.DUMMYFUNCTION("""COMPUTED_VALUE"""),TRUE)</f>
        <v>1</v>
      </c>
      <c r="R16" s="87" t="str">
        <f>IFERROR(__xludf.DUMMYFUNCTION("""COMPUTED_VALUE"""),"")</f>
        <v/>
      </c>
      <c r="S16" s="234" t="str">
        <f>IFERROR(__xludf.DUMMYFUNCTION("""COMPUTED_VALUE"""),"Essential to understanding addition and subtraction (1.OA.D.7)")</f>
        <v>Essential to understanding addition and subtraction (1.OA.D.7)</v>
      </c>
      <c r="T16" s="240"/>
      <c r="U16" s="87"/>
      <c r="V16" s="234"/>
      <c r="W16" s="115"/>
      <c r="X16" s="115"/>
      <c r="Y16" s="115"/>
      <c r="Z16" s="115"/>
      <c r="AA16" s="241"/>
      <c r="AB16" s="234"/>
      <c r="AC16" s="240"/>
      <c r="AD16" s="87"/>
      <c r="AE16" s="234"/>
      <c r="AF16" s="115"/>
      <c r="AG16" s="115"/>
      <c r="AH16" s="115"/>
      <c r="AI16" s="115"/>
      <c r="AJ16" s="87"/>
      <c r="AK16" s="234"/>
      <c r="AL16" s="240"/>
      <c r="AM16" s="87"/>
      <c r="AN16" s="234"/>
      <c r="AO16" s="115"/>
      <c r="AP16" s="115"/>
      <c r="AQ16" s="115"/>
      <c r="AR16" s="115"/>
      <c r="AS16" s="87"/>
      <c r="AT16" s="234"/>
      <c r="AU16" s="240"/>
      <c r="AV16" s="87"/>
      <c r="AW16" s="234"/>
      <c r="AX16" s="115"/>
      <c r="AY16" s="115"/>
      <c r="AZ16" s="115"/>
      <c r="BA16" s="115"/>
      <c r="BB16" s="87"/>
      <c r="BC16" s="234"/>
      <c r="BD16" s="240">
        <f>IFERROR(__xludf.DUMMYFUNCTION("""COMPUTED_VALUE"""),4.0)</f>
        <v>4</v>
      </c>
      <c r="BE16" s="87" t="str">
        <f>IFERROR(__xludf.DUMMYFUNCTION("""COMPUTED_VALUE"""),"6.EE.C.9")</f>
        <v>6.EE.C.9</v>
      </c>
      <c r="BF16" s="234" t="str">
        <f>IFERROR(__xludf.DUMMYFUNCTION("""COMPUTED_VALUE"""),"Use variables to represent two quantities in a real-world problem that change in relationship to one another; write an equation to express one quantity, thought of as the dependent variable, in terms of the other quantity, thought of as the independent va"&amp;"riable. Analyze the relationship between the dependent and independent variables using graphs and tables, and relate these to the equation. For example, in a problem involving motion at constant speed, list and graph ordered pairs of distances and times, "&amp;"and write the equation d = 65t to represent the relationship between distance and time.")</f>
        <v>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For example, in a problem involving motion at constant speed, list and graph ordered pairs of distances and times, and write the equation d = 65t to represent the relationship between distance and time.</v>
      </c>
      <c r="BG16" s="115" t="b">
        <f>IFERROR(__xludf.DUMMYFUNCTION("""COMPUTED_VALUE"""),TRUE)</f>
        <v>1</v>
      </c>
      <c r="BH16" s="115" t="b">
        <f>IFERROR(__xludf.DUMMYFUNCTION("""COMPUTED_VALUE"""),TRUE)</f>
        <v>1</v>
      </c>
      <c r="BI16" s="115" t="b">
        <f>IFERROR(__xludf.DUMMYFUNCTION("""COMPUTED_VALUE"""),TRUE)</f>
        <v>1</v>
      </c>
      <c r="BJ16" s="115" t="b">
        <f>IFERROR(__xludf.DUMMYFUNCTION("""COMPUTED_VALUE"""),TRUE)</f>
        <v>1</v>
      </c>
      <c r="BK16" s="87" t="str">
        <f>IFERROR(__xludf.DUMMYFUNCTION("""COMPUTED_VALUE"""),"")</f>
        <v/>
      </c>
      <c r="BL16" s="234" t="str">
        <f>IFERROR(__xludf.DUMMYFUNCTION("""COMPUTED_VALUE"""),"R-Used past 12th
E-Solving for unknowns
A-3-5 Questions on ACT Aspire
L-Science and real-world applications")</f>
        <v>R-Used past 12th
E-Solving for unknowns
A-3-5 Questions on ACT Aspire
L-Science and real-world applications</v>
      </c>
    </row>
    <row r="17">
      <c r="A17" s="211"/>
      <c r="B17" s="233"/>
      <c r="C17" s="87"/>
      <c r="D17" s="234"/>
      <c r="E17" s="115"/>
      <c r="F17" s="115"/>
      <c r="G17" s="115"/>
      <c r="H17" s="115"/>
      <c r="I17" s="87"/>
      <c r="J17" s="234"/>
      <c r="K17" s="233"/>
      <c r="L17" s="87"/>
      <c r="M17" s="234"/>
      <c r="N17" s="115"/>
      <c r="O17" s="115"/>
      <c r="P17" s="115"/>
      <c r="Q17" s="115"/>
      <c r="R17" s="87"/>
      <c r="S17" s="234"/>
      <c r="T17" s="240"/>
      <c r="U17" s="87"/>
      <c r="V17" s="234"/>
      <c r="W17" s="115"/>
      <c r="X17" s="115"/>
      <c r="Y17" s="115"/>
      <c r="Z17" s="115"/>
      <c r="AA17" s="241"/>
      <c r="AB17" s="234"/>
      <c r="AC17" s="240"/>
      <c r="AD17" s="87"/>
      <c r="AE17" s="234"/>
      <c r="AF17" s="115"/>
      <c r="AG17" s="115"/>
      <c r="AH17" s="115"/>
      <c r="AI17" s="115"/>
      <c r="AJ17" s="87"/>
      <c r="AK17" s="234"/>
      <c r="AL17" s="240"/>
      <c r="AM17" s="87"/>
      <c r="AN17" s="234"/>
      <c r="AO17" s="115"/>
      <c r="AP17" s="115"/>
      <c r="AQ17" s="115"/>
      <c r="AR17" s="115"/>
      <c r="AS17" s="87"/>
      <c r="AT17" s="234"/>
      <c r="AU17" s="240"/>
      <c r="AV17" s="87"/>
      <c r="AW17" s="234"/>
      <c r="AX17" s="115"/>
      <c r="AY17" s="115"/>
      <c r="AZ17" s="115"/>
      <c r="BA17" s="115"/>
      <c r="BB17" s="87"/>
      <c r="BC17" s="234"/>
      <c r="BD17" s="240"/>
      <c r="BE17" s="87"/>
      <c r="BF17" s="234"/>
      <c r="BG17" s="115"/>
      <c r="BH17" s="115"/>
      <c r="BI17" s="115"/>
      <c r="BJ17" s="115"/>
      <c r="BK17" s="87"/>
      <c r="BL17" s="234"/>
    </row>
    <row r="18" ht="3.75" customHeight="1">
      <c r="A18" s="254"/>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254"/>
      <c r="BH18" s="254"/>
      <c r="BI18" s="254"/>
      <c r="BJ18" s="254"/>
      <c r="BK18" s="254"/>
      <c r="BL18" s="255"/>
    </row>
    <row r="19">
      <c r="A19" s="242" t="s">
        <v>90</v>
      </c>
      <c r="B19" s="233" t="str">
        <f>IFERROR(__xludf.DUMMYFUNCTION("unique('K-M'!M43:U47)"),"")</f>
        <v/>
      </c>
      <c r="C19" s="87" t="str">
        <f>IFERROR(__xludf.DUMMYFUNCTION("""COMPUTED_VALUE"""),"")</f>
        <v/>
      </c>
      <c r="D19" s="234" t="str">
        <f>IFERROR(__xludf.DUMMYFUNCTION("""COMPUTED_VALUE"""),"")</f>
        <v/>
      </c>
      <c r="E19" s="115" t="str">
        <f>IFERROR(__xludf.DUMMYFUNCTION("""COMPUTED_VALUE"""),"")</f>
        <v/>
      </c>
      <c r="F19" s="115" t="str">
        <f>IFERROR(__xludf.DUMMYFUNCTION("""COMPUTED_VALUE"""),"")</f>
        <v/>
      </c>
      <c r="G19" s="115" t="str">
        <f>IFERROR(__xludf.DUMMYFUNCTION("""COMPUTED_VALUE"""),"")</f>
        <v/>
      </c>
      <c r="H19" s="115" t="str">
        <f>IFERROR(__xludf.DUMMYFUNCTION("""COMPUTED_VALUE"""),"")</f>
        <v/>
      </c>
      <c r="I19" s="87" t="str">
        <f>IFERROR(__xludf.DUMMYFUNCTION("""COMPUTED_VALUE"""),"")</f>
        <v/>
      </c>
      <c r="J19" s="234" t="str">
        <f>IFERROR(__xludf.DUMMYFUNCTION("""COMPUTED_VALUE"""),"")</f>
        <v/>
      </c>
      <c r="K19" s="233" t="str">
        <f>IFERROR(__xludf.DUMMYFUNCTION("unique('1-M'!M50:U52)"),"")</f>
        <v/>
      </c>
      <c r="L19" s="87" t="str">
        <f>IFERROR(__xludf.DUMMYFUNCTION("""COMPUTED_VALUE"""),"")</f>
        <v/>
      </c>
      <c r="M19" s="234" t="str">
        <f>IFERROR(__xludf.DUMMYFUNCTION("""COMPUTED_VALUE"""),"")</f>
        <v/>
      </c>
      <c r="N19" s="115" t="str">
        <f>IFERROR(__xludf.DUMMYFUNCTION("""COMPUTED_VALUE"""),"")</f>
        <v/>
      </c>
      <c r="O19" s="115" t="str">
        <f>IFERROR(__xludf.DUMMYFUNCTION("""COMPUTED_VALUE"""),"")</f>
        <v/>
      </c>
      <c r="P19" s="115" t="str">
        <f>IFERROR(__xludf.DUMMYFUNCTION("""COMPUTED_VALUE"""),"")</f>
        <v/>
      </c>
      <c r="Q19" s="115" t="str">
        <f>IFERROR(__xludf.DUMMYFUNCTION("""COMPUTED_VALUE"""),"")</f>
        <v/>
      </c>
      <c r="R19" s="87" t="str">
        <f>IFERROR(__xludf.DUMMYFUNCTION("""COMPUTED_VALUE"""),"")</f>
        <v/>
      </c>
      <c r="S19" s="234" t="str">
        <f>IFERROR(__xludf.DUMMYFUNCTION("""COMPUTED_VALUE"""),"")</f>
        <v/>
      </c>
      <c r="T19" s="240" t="str">
        <f>IFERROR(__xludf.DUMMYFUNCTION("unique('2-M'!M52:U54)"),"")</f>
        <v/>
      </c>
      <c r="U19" s="87" t="str">
        <f>IFERROR(__xludf.DUMMYFUNCTION("""COMPUTED_VALUE"""),"")</f>
        <v/>
      </c>
      <c r="V19" s="234" t="str">
        <f>IFERROR(__xludf.DUMMYFUNCTION("""COMPUTED_VALUE"""),"")</f>
        <v/>
      </c>
      <c r="W19" s="115" t="str">
        <f>IFERROR(__xludf.DUMMYFUNCTION("""COMPUTED_VALUE"""),"")</f>
        <v/>
      </c>
      <c r="X19" s="115" t="str">
        <f>IFERROR(__xludf.DUMMYFUNCTION("""COMPUTED_VALUE"""),"")</f>
        <v/>
      </c>
      <c r="Y19" s="115" t="str">
        <f>IFERROR(__xludf.DUMMYFUNCTION("""COMPUTED_VALUE"""),"")</f>
        <v/>
      </c>
      <c r="Z19" s="115" t="str">
        <f>IFERROR(__xludf.DUMMYFUNCTION("""COMPUTED_VALUE"""),"")</f>
        <v/>
      </c>
      <c r="AA19" s="241" t="str">
        <f>IFERROR(__xludf.DUMMYFUNCTION("""COMPUTED_VALUE"""),"")</f>
        <v/>
      </c>
      <c r="AB19" s="234" t="str">
        <f>IFERROR(__xludf.DUMMYFUNCTION("""COMPUTED_VALUE"""),"")</f>
        <v/>
      </c>
      <c r="AC19" s="240">
        <f>IFERROR(__xludf.DUMMYFUNCTION("unique('3-M'!M64:U65)"),3.0)</f>
        <v>3</v>
      </c>
      <c r="AD19" s="87" t="str">
        <f>IFERROR(__xludf.DUMMYFUNCTION("""COMPUTED_VALUE"""),"3.G.A.1")</f>
        <v>3.G.A.1</v>
      </c>
      <c r="AE19" s="234" t="str">
        <f>IFERROR(__xludf.DUMMYFUNCTION("""COMPUTED_VALUE"""),"Understand that shapes in different categories (e.g., rhombuses, rectangles, and others) may share attributes (e.g., having four sides), and that the shared attributes can define a larger category (e.g., quadrilaterals). Recognize rhombuses, rectangles, a"&amp;"nd squares as examples of quadrilaterals, and draw examples of quadrilaterals that do not belong to any of these subcategories.")</f>
        <v>Understand that shapes in different categories (e.g., rhombuses, rectangles, and others) may share attributes (e.g., having four sides), and that the shared attributes can define a larger category (e.g., quadrilaterals). Recognize rhombuses, rectangles, and squares as examples of quadrilaterals, and draw examples of quadrilaterals that do not belong to any of these subcategories.</v>
      </c>
      <c r="AF19" s="115" t="b">
        <f>IFERROR(__xludf.DUMMYFUNCTION("""COMPUTED_VALUE"""),TRUE)</f>
        <v>1</v>
      </c>
      <c r="AG19" s="115" t="b">
        <f>IFERROR(__xludf.DUMMYFUNCTION("""COMPUTED_VALUE"""),TRUE)</f>
        <v>1</v>
      </c>
      <c r="AH19" s="115" t="b">
        <f>IFERROR(__xludf.DUMMYFUNCTION("""COMPUTED_VALUE"""),TRUE)</f>
        <v>1</v>
      </c>
      <c r="AI19" s="115" t="b">
        <f>IFERROR(__xludf.DUMMYFUNCTION("""COMPUTED_VALUE"""),FALSE)</f>
        <v>0</v>
      </c>
      <c r="AJ19" s="87" t="str">
        <f>IFERROR(__xludf.DUMMYFUNCTION("""COMPUTED_VALUE"""),"")</f>
        <v/>
      </c>
      <c r="AK19" s="234" t="str">
        <f>IFERROR(__xludf.DUMMYFUNCTION("""COMPUTED_VALUE"""),"")</f>
        <v/>
      </c>
      <c r="AL19" s="240" t="str">
        <f>IFERROR(__xludf.DUMMYFUNCTION("unique('4-M'!M58:U60)"),"")</f>
        <v/>
      </c>
      <c r="AM19" s="87" t="str">
        <f>IFERROR(__xludf.DUMMYFUNCTION("""COMPUTED_VALUE"""),"")</f>
        <v/>
      </c>
      <c r="AN19" s="234" t="str">
        <f>IFERROR(__xludf.DUMMYFUNCTION("""COMPUTED_VALUE"""),"")</f>
        <v/>
      </c>
      <c r="AO19" s="115" t="str">
        <f>IFERROR(__xludf.DUMMYFUNCTION("""COMPUTED_VALUE"""),"")</f>
        <v/>
      </c>
      <c r="AP19" s="115" t="str">
        <f>IFERROR(__xludf.DUMMYFUNCTION("""COMPUTED_VALUE"""),"")</f>
        <v/>
      </c>
      <c r="AQ19" s="115" t="str">
        <f>IFERROR(__xludf.DUMMYFUNCTION("""COMPUTED_VALUE"""),"")</f>
        <v/>
      </c>
      <c r="AR19" s="115" t="str">
        <f>IFERROR(__xludf.DUMMYFUNCTION("""COMPUTED_VALUE"""),"")</f>
        <v/>
      </c>
      <c r="AS19" s="87" t="str">
        <f>IFERROR(__xludf.DUMMYFUNCTION("""COMPUTED_VALUE"""),"")</f>
        <v/>
      </c>
      <c r="AT19" s="234" t="str">
        <f>IFERROR(__xludf.DUMMYFUNCTION("""COMPUTED_VALUE"""),"")</f>
        <v/>
      </c>
      <c r="AU19" s="240" t="str">
        <f>IFERROR(__xludf.DUMMYFUNCTION("unique('5-M'!M60:U63)"),"")</f>
        <v/>
      </c>
      <c r="AV19" s="87" t="str">
        <f>IFERROR(__xludf.DUMMYFUNCTION("""COMPUTED_VALUE"""),"")</f>
        <v/>
      </c>
      <c r="AW19" s="234" t="str">
        <f>IFERROR(__xludf.DUMMYFUNCTION("""COMPUTED_VALUE"""),"")</f>
        <v/>
      </c>
      <c r="AX19" s="115" t="str">
        <f>IFERROR(__xludf.DUMMYFUNCTION("""COMPUTED_VALUE"""),"")</f>
        <v/>
      </c>
      <c r="AY19" s="115" t="str">
        <f>IFERROR(__xludf.DUMMYFUNCTION("""COMPUTED_VALUE"""),"")</f>
        <v/>
      </c>
      <c r="AZ19" s="115" t="str">
        <f>IFERROR(__xludf.DUMMYFUNCTION("""COMPUTED_VALUE"""),"")</f>
        <v/>
      </c>
      <c r="BA19" s="115" t="str">
        <f>IFERROR(__xludf.DUMMYFUNCTION("""COMPUTED_VALUE"""),"")</f>
        <v/>
      </c>
      <c r="BB19" s="87" t="str">
        <f>IFERROR(__xludf.DUMMYFUNCTION("""COMPUTED_VALUE"""),"")</f>
        <v/>
      </c>
      <c r="BC19" s="234" t="str">
        <f>IFERROR(__xludf.DUMMYFUNCTION("""COMPUTED_VALUE"""),"")</f>
        <v/>
      </c>
      <c r="BD19" s="240">
        <f>IFERROR(__xludf.DUMMYFUNCTION("unique('6-M'!M83:U86)"),3.0)</f>
        <v>3</v>
      </c>
      <c r="BE19" s="87" t="str">
        <f>IFERROR(__xludf.DUMMYFUNCTION("""COMPUTED_VALUE"""),"6.G.A.1")</f>
        <v>6.G.A.1</v>
      </c>
      <c r="BF19" s="234" t="str">
        <f>IFERROR(__xludf.DUMMYFUNCTION("""COMPUTED_VALUE"""),"Find the area of right triangles, other triangles, special quadrilaterals, and polygons by composing into rectangles or decomposing into triangles and other shapes; apply these techniques in the context of solving real-world and mathematical problems")</f>
        <v>Find the area of right triangles, other triangles, special quadrilaterals, and polygons by composing into rectangles or decomposing into triangles and other shapes; apply these techniques in the context of solving real-world and mathematical problems</v>
      </c>
      <c r="BG19" s="115" t="b">
        <f>IFERROR(__xludf.DUMMYFUNCTION("""COMPUTED_VALUE"""),TRUE)</f>
        <v>1</v>
      </c>
      <c r="BH19" s="115" t="b">
        <f>IFERROR(__xludf.DUMMYFUNCTION("""COMPUTED_VALUE"""),TRUE)</f>
        <v>1</v>
      </c>
      <c r="BI19" s="115" t="b">
        <f>IFERROR(__xludf.DUMMYFUNCTION("""COMPUTED_VALUE"""),TRUE)</f>
        <v>1</v>
      </c>
      <c r="BJ19" s="115" t="b">
        <f>IFERROR(__xludf.DUMMYFUNCTION("""COMPUTED_VALUE"""),FALSE)</f>
        <v>0</v>
      </c>
      <c r="BK19" s="87" t="str">
        <f>IFERROR(__xludf.DUMMYFUNCTION("""COMPUTED_VALUE"""),"")</f>
        <v/>
      </c>
      <c r="BL19" s="234" t="str">
        <f>IFERROR(__xludf.DUMMYFUNCTION("""COMPUTED_VALUE"""),"R- needed as part of geometry proofs
E- ties into EE standards when finding unknowns
A- 5-7 questions on ACT aspire
L-")</f>
        <v>R- needed as part of geometry proofs
E- ties into EE standards when finding unknowns
A- 5-7 questions on ACT aspire
L-</v>
      </c>
    </row>
    <row r="20">
      <c r="A20" s="211"/>
      <c r="B20" s="233"/>
      <c r="C20" s="87"/>
      <c r="D20" s="234"/>
      <c r="E20" s="115"/>
      <c r="F20" s="115"/>
      <c r="G20" s="115"/>
      <c r="H20" s="115"/>
      <c r="I20" s="87"/>
      <c r="J20" s="234"/>
      <c r="K20" s="233">
        <f>IFERROR(__xludf.DUMMYFUNCTION("""COMPUTED_VALUE"""),4.0)</f>
        <v>4</v>
      </c>
      <c r="L20" s="87" t="str">
        <f>IFERROR(__xludf.DUMMYFUNCTION("""COMPUTED_VALUE"""),"1.G.A.2")</f>
        <v>1.G.A.2</v>
      </c>
      <c r="M20" s="234" t="str">
        <f>IFERROR(__xludf.DUMMYFUNCTION("""COMPUTED_VALUE"""),"Compose two-dimensional shapes (rectangles, squares, trapezoids, triangles, half-circles, and quartercircles) or three-dimensional shapes (cubes, right rectangular prisms, right circular cones, and right circular cylinders) to create a composite shape, an"&amp;"d compose new shapes from the composite shape")</f>
        <v>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v>
      </c>
      <c r="N20" s="115" t="b">
        <f>IFERROR(__xludf.DUMMYFUNCTION("""COMPUTED_VALUE"""),TRUE)</f>
        <v>1</v>
      </c>
      <c r="O20" s="115" t="b">
        <f>IFERROR(__xludf.DUMMYFUNCTION("""COMPUTED_VALUE"""),TRUE)</f>
        <v>1</v>
      </c>
      <c r="P20" s="115" t="b">
        <f>IFERROR(__xludf.DUMMYFUNCTION("""COMPUTED_VALUE"""),TRUE)</f>
        <v>1</v>
      </c>
      <c r="Q20" s="115" t="b">
        <f>IFERROR(__xludf.DUMMYFUNCTION("""COMPUTED_VALUE"""),TRUE)</f>
        <v>1</v>
      </c>
      <c r="R20" s="87" t="str">
        <f>IFERROR(__xludf.DUMMYFUNCTION("""COMPUTED_VALUE"""),"")</f>
        <v/>
      </c>
      <c r="S20" s="234" t="str">
        <f>IFERROR(__xludf.DUMMYFUNCTION("""COMPUTED_VALUE"""),"Introduction of 3-D shapes, and the idea that two shapes can form another shape.")</f>
        <v>Introduction of 3-D shapes, and the idea that two shapes can form another shape.</v>
      </c>
      <c r="T20" s="240"/>
      <c r="U20" s="87"/>
      <c r="V20" s="234"/>
      <c r="W20" s="115"/>
      <c r="X20" s="115"/>
      <c r="Y20" s="115"/>
      <c r="Z20" s="115"/>
      <c r="AA20" s="241"/>
      <c r="AB20" s="234"/>
      <c r="AC20" s="240">
        <f>IFERROR(__xludf.DUMMYFUNCTION("""COMPUTED_VALUE"""),4.0)</f>
        <v>4</v>
      </c>
      <c r="AD20" s="87" t="str">
        <f>IFERROR(__xludf.DUMMYFUNCTION("""COMPUTED_VALUE"""),"3.G.A.2")</f>
        <v>3.G.A.2</v>
      </c>
      <c r="AE20" s="234" t="str">
        <f>IFERROR(__xludf.DUMMYFUNCTION("""COMPUTED_VALUE"""),"Partition shapes into parts with equal areas. Express the area of each part as a unit fraction of the whole. For example, partition a shape into 4 parts with equal area, and describe the area of each part as 1/4 of the area of the shape.")</f>
        <v>Partition shapes into parts with equal areas. Express the area of each part as a unit fraction of the whole. For example, partition a shape into 4 parts with equal area, and describe the area of each part as 1/4 of the area of the shape.</v>
      </c>
      <c r="AF20" s="115" t="b">
        <f>IFERROR(__xludf.DUMMYFUNCTION("""COMPUTED_VALUE"""),TRUE)</f>
        <v>1</v>
      </c>
      <c r="AG20" s="115" t="b">
        <f>IFERROR(__xludf.DUMMYFUNCTION("""COMPUTED_VALUE"""),TRUE)</f>
        <v>1</v>
      </c>
      <c r="AH20" s="115" t="b">
        <f>IFERROR(__xludf.DUMMYFUNCTION("""COMPUTED_VALUE"""),TRUE)</f>
        <v>1</v>
      </c>
      <c r="AI20" s="115" t="b">
        <f>IFERROR(__xludf.DUMMYFUNCTION("""COMPUTED_VALUE"""),TRUE)</f>
        <v>1</v>
      </c>
      <c r="AJ20" s="87" t="str">
        <f>IFERROR(__xludf.DUMMYFUNCTION("""COMPUTED_VALUE"""),"")</f>
        <v/>
      </c>
      <c r="AK20" s="234" t="str">
        <f>IFERROR(__xludf.DUMMYFUNCTION("""COMPUTED_VALUE"""),"")</f>
        <v/>
      </c>
      <c r="AL20" s="240"/>
      <c r="AM20" s="87"/>
      <c r="AN20" s="234"/>
      <c r="AO20" s="115"/>
      <c r="AP20" s="115"/>
      <c r="AQ20" s="115"/>
      <c r="AR20" s="115"/>
      <c r="AS20" s="87"/>
      <c r="AT20" s="234"/>
      <c r="AU20" s="240">
        <f>IFERROR(__xludf.DUMMYFUNCTION("""COMPUTED_VALUE"""),3.0)</f>
        <v>3</v>
      </c>
      <c r="AV20" s="87" t="str">
        <f>IFERROR(__xludf.DUMMYFUNCTION("""COMPUTED_VALUE"""),"5.G.A.2")</f>
        <v>5.G.A.2</v>
      </c>
      <c r="AW20" s="234" t="str">
        <f>IFERROR(__xludf.DUMMYFUNCTION("""COMPUTED_VALUE"""),"Represent real world and mathematical problems by graphing points in the first quadrant of the coordinate plane, and interpret coordinate values of points in the context of the situation.")</f>
        <v>Represent real world and mathematical problems by graphing points in the first quadrant of the coordinate plane, and interpret coordinate values of points in the context of the situation.</v>
      </c>
      <c r="AX20" s="115" t="b">
        <f>IFERROR(__xludf.DUMMYFUNCTION("""COMPUTED_VALUE"""),TRUE)</f>
        <v>1</v>
      </c>
      <c r="AY20" s="115" t="b">
        <f>IFERROR(__xludf.DUMMYFUNCTION("""COMPUTED_VALUE"""),FALSE)</f>
        <v>0</v>
      </c>
      <c r="AZ20" s="115" t="b">
        <f>IFERROR(__xludf.DUMMYFUNCTION("""COMPUTED_VALUE"""),TRUE)</f>
        <v>1</v>
      </c>
      <c r="BA20" s="115" t="b">
        <f>IFERROR(__xludf.DUMMYFUNCTION("""COMPUTED_VALUE"""),TRUE)</f>
        <v>1</v>
      </c>
      <c r="BB20" s="87" t="str">
        <f>IFERROR(__xludf.DUMMYFUNCTION("""COMPUTED_VALUE"""),"")</f>
        <v/>
      </c>
      <c r="BC20" s="234" t="str">
        <f>IFERROR(__xludf.DUMMYFUNCTION("""COMPUTED_VALUE"""),"R-required for 6th
A-3-5 test questions for geometry
L-foundational skill for creating data representations in science")</f>
        <v>R-required for 6th
A-3-5 test questions for geometry
L-foundational skill for creating data representations in science</v>
      </c>
      <c r="BD20" s="240">
        <f>IFERROR(__xludf.DUMMYFUNCTION("""COMPUTED_VALUE"""),3.0)</f>
        <v>3</v>
      </c>
      <c r="BE20" s="87" t="str">
        <f>IFERROR(__xludf.DUMMYFUNCTION("""COMPUTED_VALUE"""),"6.G.A.2")</f>
        <v>6.G.A.2</v>
      </c>
      <c r="BF20" s="234" t="str">
        <f>IFERROR(__xludf.DUMMYFUNCTION("""COMPUTED_VALUE"""),"Find the volume of a right rectangular prism with fractional edge lengths by packing it with unit cubes of the appropriate unit fraction edge lengths, and show that the volume is the same as would be found by multiplying the edge lengths of the prism. App"&amp;"ly the formulas V = l w h and V = b h to find volumes of right rectangular prisms with fractional edge lengths in the context of solving real-world and mathematical problems.")</f>
        <v>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v>
      </c>
      <c r="BG20" s="115" t="b">
        <f>IFERROR(__xludf.DUMMYFUNCTION("""COMPUTED_VALUE"""),TRUE)</f>
        <v>1</v>
      </c>
      <c r="BH20" s="115" t="b">
        <f>IFERROR(__xludf.DUMMYFUNCTION("""COMPUTED_VALUE"""),TRUE)</f>
        <v>1</v>
      </c>
      <c r="BI20" s="115" t="b">
        <f>IFERROR(__xludf.DUMMYFUNCTION("""COMPUTED_VALUE"""),TRUE)</f>
        <v>1</v>
      </c>
      <c r="BJ20" s="115" t="b">
        <f>IFERROR(__xludf.DUMMYFUNCTION("""COMPUTED_VALUE"""),FALSE)</f>
        <v>0</v>
      </c>
      <c r="BK20" s="87" t="str">
        <f>IFERROR(__xludf.DUMMYFUNCTION("""COMPUTED_VALUE"""),"")</f>
        <v/>
      </c>
      <c r="BL20" s="234" t="str">
        <f>IFERROR(__xludf.DUMMYFUNCTION("""COMPUTED_VALUE"""),"R- needed as part of geometry proofs
E- ties into EE standards when finding unknowns
A- 5-7 questions on ACT aspire
L-")</f>
        <v>R- needed as part of geometry proofs
E- ties into EE standards when finding unknowns
A- 5-7 questions on ACT aspire
L-</v>
      </c>
    </row>
    <row r="21">
      <c r="A21" s="211"/>
      <c r="B21" s="233"/>
      <c r="C21" s="87"/>
      <c r="D21" s="234"/>
      <c r="E21" s="115"/>
      <c r="F21" s="115"/>
      <c r="G21" s="115"/>
      <c r="H21" s="115"/>
      <c r="I21" s="87"/>
      <c r="J21" s="234"/>
      <c r="K21" s="233"/>
      <c r="L21" s="87"/>
      <c r="M21" s="234"/>
      <c r="N21" s="115"/>
      <c r="O21" s="115"/>
      <c r="P21" s="115"/>
      <c r="Q21" s="115"/>
      <c r="R21" s="87"/>
      <c r="S21" s="234"/>
      <c r="T21" s="240"/>
      <c r="U21" s="87"/>
      <c r="V21" s="234"/>
      <c r="W21" s="115"/>
      <c r="X21" s="115"/>
      <c r="Y21" s="115"/>
      <c r="Z21" s="115"/>
      <c r="AA21" s="241"/>
      <c r="AB21" s="234"/>
      <c r="AC21" s="240"/>
      <c r="AD21" s="87"/>
      <c r="AE21" s="234"/>
      <c r="AF21" s="115"/>
      <c r="AG21" s="115"/>
      <c r="AH21" s="115"/>
      <c r="AI21" s="115"/>
      <c r="AJ21" s="87"/>
      <c r="AK21" s="234"/>
      <c r="AL21" s="240"/>
      <c r="AM21" s="87"/>
      <c r="AN21" s="234"/>
      <c r="AO21" s="115"/>
      <c r="AP21" s="115"/>
      <c r="AQ21" s="115"/>
      <c r="AR21" s="115"/>
      <c r="AS21" s="87"/>
      <c r="AT21" s="234"/>
      <c r="AU21" s="240"/>
      <c r="AV21" s="87"/>
      <c r="AW21" s="234"/>
      <c r="AX21" s="115"/>
      <c r="AY21" s="115"/>
      <c r="AZ21" s="115"/>
      <c r="BA21" s="115"/>
      <c r="BB21" s="87"/>
      <c r="BC21" s="234"/>
      <c r="BD21" s="240" t="str">
        <f>IFERROR(__xludf.DUMMYFUNCTION("""COMPUTED_VALUE"""),"")</f>
        <v/>
      </c>
      <c r="BE21" s="87" t="str">
        <f>IFERROR(__xludf.DUMMYFUNCTION("""COMPUTED_VALUE"""),"")</f>
        <v/>
      </c>
      <c r="BF21" s="234" t="str">
        <f>IFERROR(__xludf.DUMMYFUNCTION("""COMPUTED_VALUE"""),"")</f>
        <v/>
      </c>
      <c r="BG21" s="115" t="str">
        <f>IFERROR(__xludf.DUMMYFUNCTION("""COMPUTED_VALUE"""),"")</f>
        <v/>
      </c>
      <c r="BH21" s="115" t="str">
        <f>IFERROR(__xludf.DUMMYFUNCTION("""COMPUTED_VALUE"""),"")</f>
        <v/>
      </c>
      <c r="BI21" s="115" t="str">
        <f>IFERROR(__xludf.DUMMYFUNCTION("""COMPUTED_VALUE"""),"")</f>
        <v/>
      </c>
      <c r="BJ21" s="115" t="str">
        <f>IFERROR(__xludf.DUMMYFUNCTION("""COMPUTED_VALUE"""),"")</f>
        <v/>
      </c>
      <c r="BK21" s="87" t="str">
        <f>IFERROR(__xludf.DUMMYFUNCTION("""COMPUTED_VALUE"""),"")</f>
        <v/>
      </c>
      <c r="BL21" s="234" t="str">
        <f>IFERROR(__xludf.DUMMYFUNCTION("""COMPUTED_VALUE"""),"")</f>
        <v/>
      </c>
    </row>
    <row r="22">
      <c r="A22" s="211"/>
      <c r="B22" s="233"/>
      <c r="C22" s="87"/>
      <c r="D22" s="234"/>
      <c r="E22" s="115"/>
      <c r="F22" s="115"/>
      <c r="G22" s="115"/>
      <c r="H22" s="115"/>
      <c r="I22" s="87"/>
      <c r="J22" s="234"/>
      <c r="K22" s="233"/>
      <c r="L22" s="87"/>
      <c r="M22" s="234"/>
      <c r="N22" s="115"/>
      <c r="O22" s="115"/>
      <c r="P22" s="115"/>
      <c r="Q22" s="115"/>
      <c r="R22" s="87"/>
      <c r="S22" s="234"/>
      <c r="T22" s="240"/>
      <c r="U22" s="87"/>
      <c r="V22" s="234"/>
      <c r="W22" s="115"/>
      <c r="X22" s="115"/>
      <c r="Y22" s="115"/>
      <c r="Z22" s="115"/>
      <c r="AA22" s="241"/>
      <c r="AB22" s="234"/>
      <c r="AC22" s="240"/>
      <c r="AD22" s="87"/>
      <c r="AE22" s="234"/>
      <c r="AF22" s="115"/>
      <c r="AG22" s="115"/>
      <c r="AH22" s="115"/>
      <c r="AI22" s="115"/>
      <c r="AJ22" s="87"/>
      <c r="AK22" s="234"/>
      <c r="AL22" s="240"/>
      <c r="AM22" s="87"/>
      <c r="AN22" s="234"/>
      <c r="AO22" s="115"/>
      <c r="AP22" s="115"/>
      <c r="AQ22" s="115"/>
      <c r="AR22" s="115"/>
      <c r="AS22" s="87"/>
      <c r="AT22" s="234"/>
      <c r="AU22" s="240"/>
      <c r="AV22" s="87"/>
      <c r="AW22" s="234"/>
      <c r="AX22" s="115"/>
      <c r="AY22" s="115"/>
      <c r="AZ22" s="115"/>
      <c r="BA22" s="115"/>
      <c r="BB22" s="87"/>
      <c r="BC22" s="234"/>
      <c r="BD22" s="240"/>
      <c r="BE22" s="87"/>
      <c r="BF22" s="234"/>
      <c r="BG22" s="115"/>
      <c r="BH22" s="115"/>
      <c r="BI22" s="115"/>
      <c r="BJ22" s="115"/>
      <c r="BK22" s="87"/>
      <c r="BL22" s="234"/>
    </row>
    <row r="23">
      <c r="A23" s="211"/>
      <c r="B23" s="233"/>
      <c r="C23" s="87"/>
      <c r="D23" s="234"/>
      <c r="E23" s="115"/>
      <c r="F23" s="115"/>
      <c r="G23" s="115"/>
      <c r="H23" s="115"/>
      <c r="I23" s="87"/>
      <c r="J23" s="234"/>
      <c r="K23" s="233"/>
      <c r="L23" s="87"/>
      <c r="M23" s="234"/>
      <c r="N23" s="115"/>
      <c r="O23" s="115"/>
      <c r="P23" s="115"/>
      <c r="Q23" s="115"/>
      <c r="R23" s="87"/>
      <c r="S23" s="234"/>
      <c r="T23" s="240"/>
      <c r="U23" s="87"/>
      <c r="V23" s="234"/>
      <c r="W23" s="115"/>
      <c r="X23" s="115"/>
      <c r="Y23" s="115"/>
      <c r="Z23" s="115"/>
      <c r="AA23" s="241"/>
      <c r="AB23" s="234"/>
      <c r="AC23" s="240"/>
      <c r="AD23" s="87"/>
      <c r="AE23" s="234"/>
      <c r="AF23" s="115"/>
      <c r="AG23" s="115"/>
      <c r="AH23" s="115"/>
      <c r="AI23" s="115"/>
      <c r="AJ23" s="87"/>
      <c r="AK23" s="234"/>
      <c r="AL23" s="240"/>
      <c r="AM23" s="87"/>
      <c r="AN23" s="234"/>
      <c r="AO23" s="115"/>
      <c r="AP23" s="115"/>
      <c r="AQ23" s="115"/>
      <c r="AR23" s="115"/>
      <c r="AS23" s="87"/>
      <c r="AT23" s="234"/>
      <c r="AU23" s="240"/>
      <c r="AV23" s="87"/>
      <c r="AW23" s="234"/>
      <c r="AX23" s="115"/>
      <c r="AY23" s="115"/>
      <c r="AZ23" s="115"/>
      <c r="BA23" s="115"/>
      <c r="BB23" s="87"/>
      <c r="BC23" s="234"/>
      <c r="BD23" s="240"/>
      <c r="BE23" s="87"/>
      <c r="BF23" s="234"/>
      <c r="BG23" s="115"/>
      <c r="BH23" s="115"/>
      <c r="BI23" s="115"/>
      <c r="BJ23" s="115"/>
      <c r="BK23" s="87"/>
      <c r="BL23" s="234"/>
    </row>
    <row r="24">
      <c r="A24" s="212"/>
      <c r="B24" s="233"/>
      <c r="C24" s="87"/>
      <c r="D24" s="234"/>
      <c r="E24" s="115"/>
      <c r="F24" s="115"/>
      <c r="G24" s="115"/>
      <c r="H24" s="115"/>
      <c r="I24" s="87"/>
      <c r="J24" s="234"/>
      <c r="K24" s="233"/>
      <c r="L24" s="87"/>
      <c r="M24" s="234"/>
      <c r="N24" s="115"/>
      <c r="O24" s="115"/>
      <c r="P24" s="115"/>
      <c r="Q24" s="115"/>
      <c r="R24" s="87"/>
      <c r="S24" s="234"/>
      <c r="T24" s="240"/>
      <c r="U24" s="87"/>
      <c r="V24" s="234"/>
      <c r="W24" s="115"/>
      <c r="X24" s="115"/>
      <c r="Y24" s="115"/>
      <c r="Z24" s="115"/>
      <c r="AA24" s="241"/>
      <c r="AB24" s="234"/>
      <c r="AC24" s="240"/>
      <c r="AD24" s="87"/>
      <c r="AE24" s="234"/>
      <c r="AF24" s="115"/>
      <c r="AG24" s="115"/>
      <c r="AH24" s="115"/>
      <c r="AI24" s="115"/>
      <c r="AJ24" s="87"/>
      <c r="AK24" s="234"/>
      <c r="AL24" s="240"/>
      <c r="AM24" s="87"/>
      <c r="AN24" s="234"/>
      <c r="AO24" s="115"/>
      <c r="AP24" s="115"/>
      <c r="AQ24" s="115"/>
      <c r="AR24" s="115"/>
      <c r="AS24" s="87"/>
      <c r="AT24" s="234"/>
      <c r="AU24" s="240"/>
      <c r="AV24" s="87"/>
      <c r="AW24" s="234"/>
      <c r="AX24" s="115"/>
      <c r="AY24" s="115"/>
      <c r="AZ24" s="115"/>
      <c r="BA24" s="115"/>
      <c r="BB24" s="87"/>
      <c r="BC24" s="234"/>
      <c r="BD24" s="240"/>
      <c r="BE24" s="87"/>
      <c r="BF24" s="234"/>
      <c r="BG24" s="115"/>
      <c r="BH24" s="115"/>
      <c r="BI24" s="115"/>
      <c r="BJ24" s="115"/>
      <c r="BK24" s="87"/>
      <c r="BL24" s="234"/>
    </row>
    <row r="25" ht="3.75" customHeight="1">
      <c r="A25" s="254"/>
      <c r="B25" s="254"/>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4"/>
      <c r="AZ25" s="254"/>
      <c r="BA25" s="254"/>
      <c r="BB25" s="254"/>
      <c r="BC25" s="254"/>
      <c r="BD25" s="254"/>
      <c r="BE25" s="254"/>
      <c r="BF25" s="254"/>
      <c r="BG25" s="254"/>
      <c r="BH25" s="254"/>
      <c r="BI25" s="254"/>
      <c r="BJ25" s="254"/>
      <c r="BK25" s="254"/>
      <c r="BL25" s="255"/>
    </row>
    <row r="26">
      <c r="A26" s="244" t="s">
        <v>124</v>
      </c>
      <c r="B26" s="233" t="str">
        <f>IFERROR(__xludf.DUMMYFUNCTION("unique('K-M'!M48:U50)"),"")</f>
        <v/>
      </c>
      <c r="C26" s="87" t="str">
        <f>IFERROR(__xludf.DUMMYFUNCTION("""COMPUTED_VALUE"""),"")</f>
        <v/>
      </c>
      <c r="D26" s="234" t="str">
        <f>IFERROR(__xludf.DUMMYFUNCTION("""COMPUTED_VALUE"""),"")</f>
        <v/>
      </c>
      <c r="E26" s="115" t="str">
        <f>IFERROR(__xludf.DUMMYFUNCTION("""COMPUTED_VALUE"""),"")</f>
        <v/>
      </c>
      <c r="F26" s="115" t="str">
        <f>IFERROR(__xludf.DUMMYFUNCTION("""COMPUTED_VALUE"""),"")</f>
        <v/>
      </c>
      <c r="G26" s="115" t="str">
        <f>IFERROR(__xludf.DUMMYFUNCTION("""COMPUTED_VALUE"""),"")</f>
        <v/>
      </c>
      <c r="H26" s="115" t="str">
        <f>IFERROR(__xludf.DUMMYFUNCTION("""COMPUTED_VALUE"""),"")</f>
        <v/>
      </c>
      <c r="I26" s="87" t="str">
        <f>IFERROR(__xludf.DUMMYFUNCTION("""COMPUTED_VALUE"""),"")</f>
        <v/>
      </c>
      <c r="J26" s="234" t="str">
        <f>IFERROR(__xludf.DUMMYFUNCTION("""COMPUTED_VALUE"""),"")</f>
        <v/>
      </c>
      <c r="K26" s="233" t="str">
        <f>IFERROR(__xludf.DUMMYFUNCTION("unique('1-M'!M52:U56)"),"")</f>
        <v/>
      </c>
      <c r="L26" s="87" t="str">
        <f>IFERROR(__xludf.DUMMYFUNCTION("""COMPUTED_VALUE"""),"")</f>
        <v/>
      </c>
      <c r="M26" s="234" t="str">
        <f>IFERROR(__xludf.DUMMYFUNCTION("""COMPUTED_VALUE"""),"")</f>
        <v/>
      </c>
      <c r="N26" s="115" t="str">
        <f>IFERROR(__xludf.DUMMYFUNCTION("""COMPUTED_VALUE"""),"")</f>
        <v/>
      </c>
      <c r="O26" s="115" t="str">
        <f>IFERROR(__xludf.DUMMYFUNCTION("""COMPUTED_VALUE"""),"")</f>
        <v/>
      </c>
      <c r="P26" s="115" t="str">
        <f>IFERROR(__xludf.DUMMYFUNCTION("""COMPUTED_VALUE"""),"")</f>
        <v/>
      </c>
      <c r="Q26" s="115" t="str">
        <f>IFERROR(__xludf.DUMMYFUNCTION("""COMPUTED_VALUE"""),"")</f>
        <v/>
      </c>
      <c r="R26" s="87" t="str">
        <f>IFERROR(__xludf.DUMMYFUNCTION("""COMPUTED_VALUE"""),"")</f>
        <v/>
      </c>
      <c r="S26" s="234" t="str">
        <f>IFERROR(__xludf.DUMMYFUNCTION("""COMPUTED_VALUE"""),"")</f>
        <v/>
      </c>
      <c r="T26" s="240" t="str">
        <f>IFERROR(__xludf.DUMMYFUNCTION("unique('2-M'!M55:U60)"),"")</f>
        <v/>
      </c>
      <c r="U26" s="87" t="str">
        <f>IFERROR(__xludf.DUMMYFUNCTION("""COMPUTED_VALUE"""),"")</f>
        <v/>
      </c>
      <c r="V26" s="234" t="str">
        <f>IFERROR(__xludf.DUMMYFUNCTION("""COMPUTED_VALUE"""),"")</f>
        <v/>
      </c>
      <c r="W26" s="115" t="str">
        <f>IFERROR(__xludf.DUMMYFUNCTION("""COMPUTED_VALUE"""),"")</f>
        <v/>
      </c>
      <c r="X26" s="115" t="str">
        <f>IFERROR(__xludf.DUMMYFUNCTION("""COMPUTED_VALUE"""),"")</f>
        <v/>
      </c>
      <c r="Y26" s="115" t="str">
        <f>IFERROR(__xludf.DUMMYFUNCTION("""COMPUTED_VALUE"""),"")</f>
        <v/>
      </c>
      <c r="Z26" s="115" t="str">
        <f>IFERROR(__xludf.DUMMYFUNCTION("""COMPUTED_VALUE"""),"")</f>
        <v/>
      </c>
      <c r="AA26" s="241" t="str">
        <f>IFERROR(__xludf.DUMMYFUNCTION("""COMPUTED_VALUE"""),"")</f>
        <v/>
      </c>
      <c r="AB26" s="234" t="str">
        <f>IFERROR(__xludf.DUMMYFUNCTION("""COMPUTED_VALUE"""),"")</f>
        <v/>
      </c>
      <c r="AC26" s="240">
        <f>IFERROR(__xludf.DUMMYFUNCTION("unique('3-M'!M66:U79)"),3.0)</f>
        <v>3</v>
      </c>
      <c r="AD26" s="87" t="str">
        <f>IFERROR(__xludf.DUMMYFUNCTION("""COMPUTED_VALUE"""),"3.MD.A.1")</f>
        <v>3.MD.A.1</v>
      </c>
      <c r="AE26" s="234" t="str">
        <f>IFERROR(__xludf.DUMMYFUNCTION("""COMPUTED_VALUE"""),"Tell and write time to the nearest minute and measure time intervals in minutes. Solve word problems involving addition and subtraction of time intervals in minutes, e.g., by representing the problem on a number line diagram.")</f>
        <v>Tell and write time to the nearest minute and measure time intervals in minutes. Solve word problems involving addition and subtraction of time intervals in minutes, e.g., by representing the problem on a number line diagram.</v>
      </c>
      <c r="AF26" s="115" t="b">
        <f>IFERROR(__xludf.DUMMYFUNCTION("""COMPUTED_VALUE"""),FALSE)</f>
        <v>0</v>
      </c>
      <c r="AG26" s="115" t="b">
        <f>IFERROR(__xludf.DUMMYFUNCTION("""COMPUTED_VALUE"""),TRUE)</f>
        <v>1</v>
      </c>
      <c r="AH26" s="115" t="b">
        <f>IFERROR(__xludf.DUMMYFUNCTION("""COMPUTED_VALUE"""),TRUE)</f>
        <v>1</v>
      </c>
      <c r="AI26" s="115" t="b">
        <f>IFERROR(__xludf.DUMMYFUNCTION("""COMPUTED_VALUE"""),TRUE)</f>
        <v>1</v>
      </c>
      <c r="AJ26" s="87" t="str">
        <f>IFERROR(__xludf.DUMMYFUNCTION("""COMPUTED_VALUE"""),"")</f>
        <v/>
      </c>
      <c r="AK26" s="234" t="str">
        <f>IFERROR(__xludf.DUMMYFUNCTION("""COMPUTED_VALUE"""),"E - Real world
A - Likely
L - Science")</f>
        <v>E - Real world
A - Likely
L - Science</v>
      </c>
      <c r="AL26" s="240" t="str">
        <f>IFERROR(__xludf.DUMMYFUNCTION("unique('4-M'!M61:U69)"),"")</f>
        <v/>
      </c>
      <c r="AM26" s="87" t="str">
        <f>IFERROR(__xludf.DUMMYFUNCTION("""COMPUTED_VALUE"""),"")</f>
        <v/>
      </c>
      <c r="AN26" s="234" t="str">
        <f>IFERROR(__xludf.DUMMYFUNCTION("""COMPUTED_VALUE"""),"")</f>
        <v/>
      </c>
      <c r="AO26" s="115" t="str">
        <f>IFERROR(__xludf.DUMMYFUNCTION("""COMPUTED_VALUE"""),"")</f>
        <v/>
      </c>
      <c r="AP26" s="115" t="str">
        <f>IFERROR(__xludf.DUMMYFUNCTION("""COMPUTED_VALUE"""),"")</f>
        <v/>
      </c>
      <c r="AQ26" s="115" t="str">
        <f>IFERROR(__xludf.DUMMYFUNCTION("""COMPUTED_VALUE"""),"")</f>
        <v/>
      </c>
      <c r="AR26" s="115" t="str">
        <f>IFERROR(__xludf.DUMMYFUNCTION("""COMPUTED_VALUE"""),"")</f>
        <v/>
      </c>
      <c r="AS26" s="87" t="str">
        <f>IFERROR(__xludf.DUMMYFUNCTION("""COMPUTED_VALUE"""),"")</f>
        <v/>
      </c>
      <c r="AT26" s="234" t="str">
        <f>IFERROR(__xludf.DUMMYFUNCTION("""COMPUTED_VALUE"""),"")</f>
        <v/>
      </c>
      <c r="AU26" s="240">
        <f>IFERROR(__xludf.DUMMYFUNCTION("unique('5-M'!M64:U73)"),3.0)</f>
        <v>3</v>
      </c>
      <c r="AV26" s="87" t="str">
        <f>IFERROR(__xludf.DUMMYFUNCTION("""COMPUTED_VALUE"""),"5.MD.A.1")</f>
        <v>5.MD.A.1</v>
      </c>
      <c r="AW26" s="234" t="str">
        <f>IFERROR(__xludf.DUMMYFUNCTION("""COMPUTED_VALUE"""),"Convert among different-sized standard measurement units within a given measurement system (e.g., convert 5 cm to 0.05 m), and use these conversions in solving multistep, real world problems.")</f>
        <v>Convert among different-sized standard measurement units within a given measurement system (e.g., convert 5 cm to 0.05 m), and use these conversions in solving multistep, real world problems.</v>
      </c>
      <c r="AX26" s="115" t="b">
        <f>IFERROR(__xludf.DUMMYFUNCTION("""COMPUTED_VALUE"""),TRUE)</f>
        <v>1</v>
      </c>
      <c r="AY26" s="115" t="b">
        <f>IFERROR(__xludf.DUMMYFUNCTION("""COMPUTED_VALUE"""),TRUE)</f>
        <v>1</v>
      </c>
      <c r="AZ26" s="115" t="b">
        <f>IFERROR(__xludf.DUMMYFUNCTION("""COMPUTED_VALUE"""),FALSE)</f>
        <v>0</v>
      </c>
      <c r="BA26" s="115" t="b">
        <f>IFERROR(__xludf.DUMMYFUNCTION("""COMPUTED_VALUE"""),TRUE)</f>
        <v>1</v>
      </c>
      <c r="BB26" s="87" t="str">
        <f>IFERROR(__xludf.DUMMYFUNCTION("""COMPUTED_VALUE"""),"")</f>
        <v/>
      </c>
      <c r="BC26" s="234" t="str">
        <f>IFERROR(__xludf.DUMMYFUNCTION("""COMPUTED_VALUE"""),"R-utilized 6th
E- comes up again with word problems and multi-step problems
A-not assessed
L-useful for conversions in future grades
")</f>
        <v>R-utilized 6th
E- comes up again with word problems and multi-step problems
A-not assessed
L-useful for conversions in future grades
</v>
      </c>
      <c r="BD26" s="240" t="str">
        <f>IFERROR(__xludf.DUMMYFUNCTION("unique('6-M'!M94:U102)"),"")</f>
        <v/>
      </c>
      <c r="BE26" s="87" t="str">
        <f>IFERROR(__xludf.DUMMYFUNCTION("""COMPUTED_VALUE"""),"")</f>
        <v/>
      </c>
      <c r="BF26" s="234" t="str">
        <f>IFERROR(__xludf.DUMMYFUNCTION("""COMPUTED_VALUE"""),"")</f>
        <v/>
      </c>
      <c r="BG26" s="115" t="str">
        <f>IFERROR(__xludf.DUMMYFUNCTION("""COMPUTED_VALUE"""),"")</f>
        <v/>
      </c>
      <c r="BH26" s="115" t="str">
        <f>IFERROR(__xludf.DUMMYFUNCTION("""COMPUTED_VALUE"""),"")</f>
        <v/>
      </c>
      <c r="BI26" s="115" t="str">
        <f>IFERROR(__xludf.DUMMYFUNCTION("""COMPUTED_VALUE"""),"")</f>
        <v/>
      </c>
      <c r="BJ26" s="115" t="str">
        <f>IFERROR(__xludf.DUMMYFUNCTION("""COMPUTED_VALUE"""),"")</f>
        <v/>
      </c>
      <c r="BK26" s="87" t="str">
        <f>IFERROR(__xludf.DUMMYFUNCTION("""COMPUTED_VALUE"""),"")</f>
        <v/>
      </c>
      <c r="BL26" s="234" t="str">
        <f>IFERROR(__xludf.DUMMYFUNCTION("""COMPUTED_VALUE"""),"")</f>
        <v/>
      </c>
    </row>
    <row r="27">
      <c r="A27" s="211"/>
      <c r="B27" s="233"/>
      <c r="C27" s="87"/>
      <c r="D27" s="234"/>
      <c r="E27" s="115"/>
      <c r="F27" s="115"/>
      <c r="G27" s="115"/>
      <c r="H27" s="115"/>
      <c r="I27" s="87"/>
      <c r="J27" s="234"/>
      <c r="K27" s="233">
        <f>IFERROR(__xludf.DUMMYFUNCTION("""COMPUTED_VALUE"""),4.0)</f>
        <v>4</v>
      </c>
      <c r="L27" s="87" t="str">
        <f>IFERROR(__xludf.DUMMYFUNCTION("""COMPUTED_VALUE"""),"1.MD.A.2")</f>
        <v>1.MD.A.2</v>
      </c>
      <c r="M27" s="234" t="str">
        <f>IFERROR(__xludf.DUMMYFUNCTION("""COMPUTED_VALUE"""),"Express the length of an object as a whole number of length units, by laying multiple copies of a shorter object (the length unit) end to end; understand that the length measurement of an object is the number of same-size length units that span it with no"&amp;" gaps or overlaps. Limit to contexts where the object being measured is spanned by a whole number of length units with no gaps or overlaps.")</f>
        <v>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v>
      </c>
      <c r="N27" s="115" t="b">
        <f>IFERROR(__xludf.DUMMYFUNCTION("""COMPUTED_VALUE"""),TRUE)</f>
        <v>1</v>
      </c>
      <c r="O27" s="115" t="b">
        <f>IFERROR(__xludf.DUMMYFUNCTION("""COMPUTED_VALUE"""),TRUE)</f>
        <v>1</v>
      </c>
      <c r="P27" s="115" t="b">
        <f>IFERROR(__xludf.DUMMYFUNCTION("""COMPUTED_VALUE"""),TRUE)</f>
        <v>1</v>
      </c>
      <c r="Q27" s="115" t="b">
        <f>IFERROR(__xludf.DUMMYFUNCTION("""COMPUTED_VALUE"""),TRUE)</f>
        <v>1</v>
      </c>
      <c r="R27" s="87" t="str">
        <f>IFERROR(__xludf.DUMMYFUNCTION("""COMPUTED_VALUE"""),"")</f>
        <v/>
      </c>
      <c r="S27" s="234" t="str">
        <f>IFERROR(__xludf.DUMMYFUNCTION("""COMPUTED_VALUE"""),"Introduction to Measurement")</f>
        <v>Introduction to Measurement</v>
      </c>
      <c r="T27" s="240">
        <f>IFERROR(__xludf.DUMMYFUNCTION("""COMPUTED_VALUE"""),0.0)</f>
        <v>0</v>
      </c>
      <c r="U27" s="87" t="str">
        <f>IFERROR(__xludf.DUMMYFUNCTION("""COMPUTED_VALUE"""),"")</f>
        <v/>
      </c>
      <c r="V27" s="234" t="str">
        <f>IFERROR(__xludf.DUMMYFUNCTION("""COMPUTED_VALUE"""),"")</f>
        <v/>
      </c>
      <c r="W27" s="115" t="str">
        <f>IFERROR(__xludf.DUMMYFUNCTION("""COMPUTED_VALUE"""),"")</f>
        <v/>
      </c>
      <c r="X27" s="115" t="str">
        <f>IFERROR(__xludf.DUMMYFUNCTION("""COMPUTED_VALUE"""),"")</f>
        <v/>
      </c>
      <c r="Y27" s="115" t="str">
        <f>IFERROR(__xludf.DUMMYFUNCTION("""COMPUTED_VALUE"""),"")</f>
        <v/>
      </c>
      <c r="Z27" s="115" t="str">
        <f>IFERROR(__xludf.DUMMYFUNCTION("""COMPUTED_VALUE"""),"")</f>
        <v/>
      </c>
      <c r="AA27" s="241" t="str">
        <f>IFERROR(__xludf.DUMMYFUNCTION("""COMPUTED_VALUE"""),"")</f>
        <v/>
      </c>
      <c r="AB27" s="234" t="str">
        <f>IFERROR(__xludf.DUMMYFUNCTION("""COMPUTED_VALUE"""),"")</f>
        <v/>
      </c>
      <c r="AC27" s="240" t="str">
        <f>IFERROR(__xludf.DUMMYFUNCTION("""COMPUTED_VALUE"""),"")</f>
        <v/>
      </c>
      <c r="AD27" s="87" t="str">
        <f>IFERROR(__xludf.DUMMYFUNCTION("""COMPUTED_VALUE"""),"")</f>
        <v/>
      </c>
      <c r="AE27" s="234" t="str">
        <f>IFERROR(__xludf.DUMMYFUNCTION("""COMPUTED_VALUE"""),"")</f>
        <v/>
      </c>
      <c r="AF27" s="115" t="str">
        <f>IFERROR(__xludf.DUMMYFUNCTION("""COMPUTED_VALUE"""),"")</f>
        <v/>
      </c>
      <c r="AG27" s="115" t="str">
        <f>IFERROR(__xludf.DUMMYFUNCTION("""COMPUTED_VALUE"""),"")</f>
        <v/>
      </c>
      <c r="AH27" s="115" t="str">
        <f>IFERROR(__xludf.DUMMYFUNCTION("""COMPUTED_VALUE"""),"")</f>
        <v/>
      </c>
      <c r="AI27" s="115" t="str">
        <f>IFERROR(__xludf.DUMMYFUNCTION("""COMPUTED_VALUE"""),"")</f>
        <v/>
      </c>
      <c r="AJ27" s="87" t="str">
        <f>IFERROR(__xludf.DUMMYFUNCTION("""COMPUTED_VALUE"""),"")</f>
        <v/>
      </c>
      <c r="AK27" s="234" t="str">
        <f>IFERROR(__xludf.DUMMYFUNCTION("""COMPUTED_VALUE"""),"")</f>
        <v/>
      </c>
      <c r="AL27" s="240">
        <f>IFERROR(__xludf.DUMMYFUNCTION("""COMPUTED_VALUE"""),3.0)</f>
        <v>3</v>
      </c>
      <c r="AM27" s="87" t="str">
        <f>IFERROR(__xludf.DUMMYFUNCTION("""COMPUTED_VALUE"""),"4.MD.A.3")</f>
        <v>4.MD.A.3</v>
      </c>
      <c r="AN27" s="234" t="str">
        <f>IFERROR(__xludf.DUMMYFUNCTION("""COMPUTED_VALUE"""),"Apply the area and perimeter formulas for rectangles in real world and mathematical problems. For example, find the width of a rectangular room given the area of the flooring and the length, by viewing the area formula as a multiplication equation with an"&amp;" unknown factor.")</f>
        <v>Apply the area and perimeter formulas for rectangles in real world and mathematical problems. For example, find the width of a rectangular room given the area of the flooring and the length, by viewing the area formula as a multiplication equation with an unknown factor.</v>
      </c>
      <c r="AO27" s="115" t="b">
        <f>IFERROR(__xludf.DUMMYFUNCTION("""COMPUTED_VALUE"""),TRUE)</f>
        <v>1</v>
      </c>
      <c r="AP27" s="115" t="b">
        <f>IFERROR(__xludf.DUMMYFUNCTION("""COMPUTED_VALUE"""),TRUE)</f>
        <v>1</v>
      </c>
      <c r="AQ27" s="115" t="b">
        <f>IFERROR(__xludf.DUMMYFUNCTION("""COMPUTED_VALUE"""),FALSE)</f>
        <v>0</v>
      </c>
      <c r="AR27" s="115" t="b">
        <f>IFERROR(__xludf.DUMMYFUNCTION("""COMPUTED_VALUE"""),TRUE)</f>
        <v>1</v>
      </c>
      <c r="AS27" s="87" t="str">
        <f>IFERROR(__xludf.DUMMYFUNCTION("""COMPUTED_VALUE"""),"")</f>
        <v/>
      </c>
      <c r="AT27" s="234" t="str">
        <f>IFERROR(__xludf.DUMMYFUNCTION("""COMPUTED_VALUE"""),"Dok 3")</f>
        <v>Dok 3</v>
      </c>
      <c r="AU27" s="240" t="str">
        <f>IFERROR(__xludf.DUMMYFUNCTION("""COMPUTED_VALUE"""),"")</f>
        <v/>
      </c>
      <c r="AV27" s="87" t="str">
        <f>IFERROR(__xludf.DUMMYFUNCTION("""COMPUTED_VALUE"""),"")</f>
        <v/>
      </c>
      <c r="AW27" s="234" t="str">
        <f>IFERROR(__xludf.DUMMYFUNCTION("""COMPUTED_VALUE"""),"")</f>
        <v/>
      </c>
      <c r="AX27" s="115" t="str">
        <f>IFERROR(__xludf.DUMMYFUNCTION("""COMPUTED_VALUE"""),"")</f>
        <v/>
      </c>
      <c r="AY27" s="115" t="str">
        <f>IFERROR(__xludf.DUMMYFUNCTION("""COMPUTED_VALUE"""),"")</f>
        <v/>
      </c>
      <c r="AZ27" s="115" t="str">
        <f>IFERROR(__xludf.DUMMYFUNCTION("""COMPUTED_VALUE"""),"")</f>
        <v/>
      </c>
      <c r="BA27" s="115" t="str">
        <f>IFERROR(__xludf.DUMMYFUNCTION("""COMPUTED_VALUE"""),"")</f>
        <v/>
      </c>
      <c r="BB27" s="87" t="str">
        <f>IFERROR(__xludf.DUMMYFUNCTION("""COMPUTED_VALUE"""),"")</f>
        <v/>
      </c>
      <c r="BC27" s="234" t="str">
        <f>IFERROR(__xludf.DUMMYFUNCTION("""COMPUTED_VALUE"""),"")</f>
        <v/>
      </c>
      <c r="BD27" s="240">
        <f>IFERROR(__xludf.DUMMYFUNCTION("""COMPUTED_VALUE"""),3.0)</f>
        <v>3</v>
      </c>
      <c r="BE27" s="87" t="str">
        <f>IFERROR(__xludf.DUMMYFUNCTION("""COMPUTED_VALUE"""),"6.SP.A.3")</f>
        <v>6.SP.A.3</v>
      </c>
      <c r="BF27" s="234" t="str">
        <f>IFERROR(__xludf.DUMMYFUNCTION("""COMPUTED_VALUE"""),"Recognize that a measure of center for a numerical data set summarizes all of its values with a single number, while a measure of variation describes how its values vary with a single number.")</f>
        <v>Recognize that a measure of center for a numerical data set summarizes all of its values with a single number, while a measure of variation describes how its values vary with a single number.</v>
      </c>
      <c r="BG27" s="115" t="b">
        <f>IFERROR(__xludf.DUMMYFUNCTION("""COMPUTED_VALUE"""),FALSE)</f>
        <v>0</v>
      </c>
      <c r="BH27" s="115" t="b">
        <f>IFERROR(__xludf.DUMMYFUNCTION("""COMPUTED_VALUE"""),TRUE)</f>
        <v>1</v>
      </c>
      <c r="BI27" s="115" t="b">
        <f>IFERROR(__xludf.DUMMYFUNCTION("""COMPUTED_VALUE"""),TRUE)</f>
        <v>1</v>
      </c>
      <c r="BJ27" s="115" t="b">
        <f>IFERROR(__xludf.DUMMYFUNCTION("""COMPUTED_VALUE"""),TRUE)</f>
        <v>1</v>
      </c>
      <c r="BK27" s="87" t="str">
        <f>IFERROR(__xludf.DUMMYFUNCTION("""COMPUTED_VALUE"""),"")</f>
        <v/>
      </c>
      <c r="BL27" s="234" t="str">
        <f>IFERROR(__xludf.DUMMYFUNCTION("""COMPUTED_VALUE"""),"E-
A-3-5 questions on ACT Aspire")</f>
        <v>E-
A-3-5 questions on ACT Aspire</v>
      </c>
    </row>
    <row r="28">
      <c r="A28" s="211"/>
      <c r="B28" s="233"/>
      <c r="C28" s="87"/>
      <c r="D28" s="234"/>
      <c r="E28" s="115"/>
      <c r="F28" s="115"/>
      <c r="G28" s="115"/>
      <c r="H28" s="115"/>
      <c r="I28" s="87"/>
      <c r="J28" s="234"/>
      <c r="K28" s="233">
        <f>IFERROR(__xludf.DUMMYFUNCTION("""COMPUTED_VALUE"""),4.0)</f>
        <v>4</v>
      </c>
      <c r="L28" s="87" t="str">
        <f>IFERROR(__xludf.DUMMYFUNCTION("""COMPUTED_VALUE"""),"1.MD.B.3")</f>
        <v>1.MD.B.3</v>
      </c>
      <c r="M28" s="234" t="str">
        <f>IFERROR(__xludf.DUMMYFUNCTION("""COMPUTED_VALUE"""),"Tell and write time in hours and halfhours using analog and digital clocks.")</f>
        <v>Tell and write time in hours and halfhours using analog and digital clocks.</v>
      </c>
      <c r="N28" s="115" t="b">
        <f>IFERROR(__xludf.DUMMYFUNCTION("""COMPUTED_VALUE"""),TRUE)</f>
        <v>1</v>
      </c>
      <c r="O28" s="115" t="b">
        <f>IFERROR(__xludf.DUMMYFUNCTION("""COMPUTED_VALUE"""),TRUE)</f>
        <v>1</v>
      </c>
      <c r="P28" s="115" t="b">
        <f>IFERROR(__xludf.DUMMYFUNCTION("""COMPUTED_VALUE"""),TRUE)</f>
        <v>1</v>
      </c>
      <c r="Q28" s="115" t="b">
        <f>IFERROR(__xludf.DUMMYFUNCTION("""COMPUTED_VALUE"""),TRUE)</f>
        <v>1</v>
      </c>
      <c r="R28" s="87" t="str">
        <f>IFERROR(__xludf.DUMMYFUNCTION("""COMPUTED_VALUE"""),"")</f>
        <v/>
      </c>
      <c r="S28" s="234" t="str">
        <f>IFERROR(__xludf.DUMMYFUNCTION("""COMPUTED_VALUE"""),"Introduction to Time")</f>
        <v>Introduction to Time</v>
      </c>
      <c r="T28" s="240">
        <f>IFERROR(__xludf.DUMMYFUNCTION("""COMPUTED_VALUE"""),3.0)</f>
        <v>3</v>
      </c>
      <c r="U28" s="87" t="str">
        <f>IFERROR(__xludf.DUMMYFUNCTION("""COMPUTED_VALUE"""),"2.MD.B.6")</f>
        <v>2.MD.B.6</v>
      </c>
      <c r="V28" s="234" t="str">
        <f>IFERROR(__xludf.DUMMYFUNCTION("""COMPUTED_VALUE"""),"Represent whole numbers as lengths from 0 on a number line diagram with equally spaced points corresponding to the numbers 0, 1, 2, ..., and represent whole-number sums and differences within 100 on a number line diagram.")</f>
        <v>Represent whole numbers as lengths from 0 on a number line diagram with equally spaced points corresponding to the numbers 0, 1, 2, ..., and represent whole-number sums and differences within 100 on a number line diagram.</v>
      </c>
      <c r="W28" s="115" t="b">
        <f>IFERROR(__xludf.DUMMYFUNCTION("""COMPUTED_VALUE"""),TRUE)</f>
        <v>1</v>
      </c>
      <c r="X28" s="115" t="b">
        <f>IFERROR(__xludf.DUMMYFUNCTION("""COMPUTED_VALUE"""),TRUE)</f>
        <v>1</v>
      </c>
      <c r="Y28" s="115" t="b">
        <f>IFERROR(__xludf.DUMMYFUNCTION("""COMPUTED_VALUE"""),FALSE)</f>
        <v>0</v>
      </c>
      <c r="Z28" s="115" t="b">
        <f>IFERROR(__xludf.DUMMYFUNCTION("""COMPUTED_VALUE"""),TRUE)</f>
        <v>1</v>
      </c>
      <c r="AA28" s="241" t="str">
        <f>IFERROR(__xludf.DUMMYFUNCTION("""COMPUTED_VALUE"""),"")</f>
        <v/>
      </c>
      <c r="AB28" s="234" t="str">
        <f>IFERROR(__xludf.DUMMYFUNCTION("""COMPUTED_VALUE"""),"R- # lines are used in third grade and throughout 
E- skill used for solving problems/ equally spaced goes with partitioning and skip counting
L-Science 
")</f>
        <v>R- # lines are used in third grade and throughout 
E- skill used for solving problems/ equally spaced goes with partitioning and skip counting
L-Science 
</v>
      </c>
      <c r="AC28" s="240">
        <f>IFERROR(__xludf.DUMMYFUNCTION("""COMPUTED_VALUE"""),4.0)</f>
        <v>4</v>
      </c>
      <c r="AD28" s="87" t="str">
        <f>IFERROR(__xludf.DUMMYFUNCTION("""COMPUTED_VALUE"""),"3.MD.C.7b")</f>
        <v>3.MD.C.7b</v>
      </c>
      <c r="AE28" s="234" t="str">
        <f>IFERROR(__xludf.DUMMYFUNCTION("""COMPUTED_VALUE"""),"Multiply side lengths to find areas of rectangles with whole-number side lengths in the context of solving real world and mathematical problems, and represent whole-number products as rectangular areas in mathematical reasoning.")</f>
        <v>Multiply side lengths to find areas of rectangles with whole-number side lengths in the context of solving real world and mathematical problems, and represent whole-number products as rectangular areas in mathematical reasoning.</v>
      </c>
      <c r="AF28" s="115" t="b">
        <f>IFERROR(__xludf.DUMMYFUNCTION("""COMPUTED_VALUE"""),TRUE)</f>
        <v>1</v>
      </c>
      <c r="AG28" s="115" t="b">
        <f>IFERROR(__xludf.DUMMYFUNCTION("""COMPUTED_VALUE"""),TRUE)</f>
        <v>1</v>
      </c>
      <c r="AH28" s="115" t="b">
        <f>IFERROR(__xludf.DUMMYFUNCTION("""COMPUTED_VALUE"""),TRUE)</f>
        <v>1</v>
      </c>
      <c r="AI28" s="115" t="b">
        <f>IFERROR(__xludf.DUMMYFUNCTION("""COMPUTED_VALUE"""),TRUE)</f>
        <v>1</v>
      </c>
      <c r="AJ28" s="87" t="str">
        <f>IFERROR(__xludf.DUMMYFUNCTION("""COMPUTED_VALUE"""),"")</f>
        <v/>
      </c>
      <c r="AK28" s="234" t="str">
        <f>IFERROR(__xludf.DUMMYFUNCTION("""COMPUTED_VALUE"""),"")</f>
        <v/>
      </c>
      <c r="AL28" s="240"/>
      <c r="AM28" s="87"/>
      <c r="AN28" s="234"/>
      <c r="AO28" s="115"/>
      <c r="AP28" s="115"/>
      <c r="AQ28" s="115"/>
      <c r="AR28" s="115"/>
      <c r="AS28" s="87"/>
      <c r="AT28" s="234"/>
      <c r="AU28" s="240">
        <f>IFERROR(__xludf.DUMMYFUNCTION("""COMPUTED_VALUE"""),3.0)</f>
        <v>3</v>
      </c>
      <c r="AV28" s="87" t="str">
        <f>IFERROR(__xludf.DUMMYFUNCTION("""COMPUTED_VALUE"""),"5.MD.C.5")</f>
        <v>5.MD.C.5</v>
      </c>
      <c r="AW28" s="234" t="str">
        <f>IFERROR(__xludf.DUMMYFUNCTION("""COMPUTED_VALUE"""),"Relate volume to the operations of multiplication and addition and solve real world and mathematical problems involving volume. (See 5.a &amp;5.b)")</f>
        <v>Relate volume to the operations of multiplication and addition and solve real world and mathematical problems involving volume. (See 5.a &amp;5.b)</v>
      </c>
      <c r="AX28" s="115" t="b">
        <f>IFERROR(__xludf.DUMMYFUNCTION("""COMPUTED_VALUE"""),TRUE)</f>
        <v>1</v>
      </c>
      <c r="AY28" s="115" t="b">
        <f>IFERROR(__xludf.DUMMYFUNCTION("""COMPUTED_VALUE"""),FALSE)</f>
        <v>0</v>
      </c>
      <c r="AZ28" s="115" t="b">
        <f>IFERROR(__xludf.DUMMYFUNCTION("""COMPUTED_VALUE"""),TRUE)</f>
        <v>1</v>
      </c>
      <c r="BA28" s="115" t="b">
        <f>IFERROR(__xludf.DUMMYFUNCTION("""COMPUTED_VALUE"""),TRUE)</f>
        <v>1</v>
      </c>
      <c r="BB28" s="87" t="str">
        <f>IFERROR(__xludf.DUMMYFUNCTION("""COMPUTED_VALUE"""),"")</f>
        <v/>
      </c>
      <c r="BC28" s="234" t="str">
        <f>IFERROR(__xludf.DUMMYFUNCTION("""COMPUTED_VALUE"""),"R-Foundational for 6th 
A-3-5 questions for measurement and data
L-Volume is used throughout experiments in science")</f>
        <v>R-Foundational for 6th 
A-3-5 questions for measurement and data
L-Volume is used throughout experiments in science</v>
      </c>
      <c r="BD28" s="240">
        <f>IFERROR(__xludf.DUMMYFUNCTION("""COMPUTED_VALUE"""),3.0)</f>
        <v>3</v>
      </c>
      <c r="BE28" s="87" t="str">
        <f>IFERROR(__xludf.DUMMYFUNCTION("""COMPUTED_VALUE"""),"6.SP.B.5d")</f>
        <v>6.SP.B.5d</v>
      </c>
      <c r="BF28" s="234" t="str">
        <f>IFERROR(__xludf.DUMMYFUNCTION("""COMPUTED_VALUE"""),"Relating the choice of measures of center and variability to the shape of the data distribution and the context in which the data were gathered.")</f>
        <v>Relating the choice of measures of center and variability to the shape of the data distribution and the context in which the data were gathered.</v>
      </c>
      <c r="BG28" s="115" t="b">
        <f>IFERROR(__xludf.DUMMYFUNCTION("""COMPUTED_VALUE"""),FALSE)</f>
        <v>0</v>
      </c>
      <c r="BH28" s="115" t="b">
        <f>IFERROR(__xludf.DUMMYFUNCTION("""COMPUTED_VALUE"""),TRUE)</f>
        <v>1</v>
      </c>
      <c r="BI28" s="115" t="b">
        <f>IFERROR(__xludf.DUMMYFUNCTION("""COMPUTED_VALUE"""),TRUE)</f>
        <v>1</v>
      </c>
      <c r="BJ28" s="115" t="b">
        <f>IFERROR(__xludf.DUMMYFUNCTION("""COMPUTED_VALUE"""),TRUE)</f>
        <v>1</v>
      </c>
      <c r="BK28" s="87" t="str">
        <f>IFERROR(__xludf.DUMMYFUNCTION("""COMPUTED_VALUE"""),"")</f>
        <v/>
      </c>
      <c r="BL28" s="234" t="str">
        <f>IFERROR(__xludf.DUMMYFUNCTION("""COMPUTED_VALUE"""),"R-
E-
A- 3-5 questions on ACT
L- understanding graphs and charts")</f>
        <v>R-
E-
A- 3-5 questions on ACT
L- understanding graphs and charts</v>
      </c>
    </row>
    <row r="29">
      <c r="A29" s="211"/>
      <c r="B29" s="233"/>
      <c r="C29" s="87"/>
      <c r="D29" s="234"/>
      <c r="E29" s="115"/>
      <c r="F29" s="115"/>
      <c r="G29" s="115"/>
      <c r="H29" s="115"/>
      <c r="I29" s="87"/>
      <c r="J29" s="234"/>
      <c r="K29" s="233">
        <f>IFERROR(__xludf.DUMMYFUNCTION("""COMPUTED_VALUE"""),4.0)</f>
        <v>4</v>
      </c>
      <c r="L29" s="87" t="str">
        <f>IFERROR(__xludf.DUMMYFUNCTION("""COMPUTED_VALUE"""),"1.MD.C.4")</f>
        <v>1.MD.C.4</v>
      </c>
      <c r="M29" s="234" t="str">
        <f>IFERROR(__xludf.DUMMYFUNCTION("""COMPUTED_VALUE"""),"Organize, represent, and interpret data with up to three categories; ask and answer questions about the total number of data points, how many in each category, and how many more or less are in one category than in another.")</f>
        <v>Organize, represent, and interpret data with up to three categories; ask and answer questions about the total number of data points, how many in each category, and how many more or less are in one category than in another.</v>
      </c>
      <c r="N29" s="115" t="b">
        <f>IFERROR(__xludf.DUMMYFUNCTION("""COMPUTED_VALUE"""),TRUE)</f>
        <v>1</v>
      </c>
      <c r="O29" s="115" t="b">
        <f>IFERROR(__xludf.DUMMYFUNCTION("""COMPUTED_VALUE"""),TRUE)</f>
        <v>1</v>
      </c>
      <c r="P29" s="115" t="b">
        <f>IFERROR(__xludf.DUMMYFUNCTION("""COMPUTED_VALUE"""),TRUE)</f>
        <v>1</v>
      </c>
      <c r="Q29" s="115" t="b">
        <f>IFERROR(__xludf.DUMMYFUNCTION("""COMPUTED_VALUE"""),TRUE)</f>
        <v>1</v>
      </c>
      <c r="R29" s="87" t="str">
        <f>IFERROR(__xludf.DUMMYFUNCTION("""COMPUTED_VALUE"""),"")</f>
        <v/>
      </c>
      <c r="S29" s="234" t="str">
        <f>IFERROR(__xludf.DUMMYFUNCTION("""COMPUTED_VALUE"""),"Graphing is an essential skill, it is assessed, and will be used in other subjects and grades.")</f>
        <v>Graphing is an essential skill, it is assessed, and will be used in other subjects and grades.</v>
      </c>
      <c r="T29" s="240"/>
      <c r="U29" s="87"/>
      <c r="V29" s="234"/>
      <c r="W29" s="115"/>
      <c r="X29" s="115"/>
      <c r="Y29" s="115"/>
      <c r="Z29" s="115"/>
      <c r="AA29" s="241"/>
      <c r="AB29" s="234"/>
      <c r="AC29" s="240"/>
      <c r="AD29" s="87"/>
      <c r="AE29" s="234"/>
      <c r="AF29" s="115"/>
      <c r="AG29" s="115"/>
      <c r="AH29" s="115"/>
      <c r="AI29" s="115"/>
      <c r="AJ29" s="87"/>
      <c r="AK29" s="234"/>
      <c r="AL29" s="240"/>
      <c r="AM29" s="87"/>
      <c r="AN29" s="234"/>
      <c r="AO29" s="115"/>
      <c r="AP29" s="115"/>
      <c r="AQ29" s="115"/>
      <c r="AR29" s="115"/>
      <c r="AS29" s="87"/>
      <c r="AT29" s="234"/>
      <c r="AU29" s="240"/>
      <c r="AV29" s="87"/>
      <c r="AW29" s="234"/>
      <c r="AX29" s="115"/>
      <c r="AY29" s="115"/>
      <c r="AZ29" s="115"/>
      <c r="BA29" s="115"/>
      <c r="BB29" s="87"/>
      <c r="BC29" s="234"/>
      <c r="BD29" s="240"/>
      <c r="BE29" s="87"/>
      <c r="BF29" s="234"/>
      <c r="BG29" s="115"/>
      <c r="BH29" s="115"/>
      <c r="BI29" s="115"/>
      <c r="BJ29" s="115"/>
      <c r="BK29" s="87"/>
      <c r="BL29" s="234"/>
    </row>
    <row r="30">
      <c r="A30" s="211"/>
      <c r="B30" s="233"/>
      <c r="C30" s="87"/>
      <c r="D30" s="234"/>
      <c r="E30" s="115"/>
      <c r="F30" s="115"/>
      <c r="G30" s="115"/>
      <c r="H30" s="115"/>
      <c r="I30" s="87"/>
      <c r="J30" s="234"/>
      <c r="K30" s="256"/>
      <c r="L30" s="87"/>
      <c r="M30" s="234"/>
      <c r="N30" s="115"/>
      <c r="O30" s="115"/>
      <c r="P30" s="115"/>
      <c r="Q30" s="115"/>
      <c r="R30" s="87"/>
      <c r="S30" s="234"/>
      <c r="T30" s="257"/>
      <c r="U30" s="87"/>
      <c r="V30" s="234"/>
      <c r="W30" s="115"/>
      <c r="X30" s="115"/>
      <c r="Y30" s="115"/>
      <c r="Z30" s="115"/>
      <c r="AA30" s="241"/>
      <c r="AB30" s="234"/>
      <c r="AC30" s="257"/>
      <c r="AD30" s="87"/>
      <c r="AE30" s="234"/>
      <c r="AF30" s="115"/>
      <c r="AG30" s="115"/>
      <c r="AH30" s="115"/>
      <c r="AI30" s="115"/>
      <c r="AJ30" s="87"/>
      <c r="AK30" s="234"/>
      <c r="AL30" s="257"/>
      <c r="AM30" s="87"/>
      <c r="AN30" s="234"/>
      <c r="AO30" s="115"/>
      <c r="AP30" s="115"/>
      <c r="AQ30" s="115"/>
      <c r="AR30" s="115"/>
      <c r="AS30" s="87"/>
      <c r="AT30" s="234"/>
      <c r="AU30" s="240"/>
      <c r="AV30" s="87"/>
      <c r="AW30" s="234"/>
      <c r="AX30" s="115"/>
      <c r="AY30" s="115"/>
      <c r="AZ30" s="115"/>
      <c r="BA30" s="115"/>
      <c r="BB30" s="87"/>
      <c r="BC30" s="234"/>
      <c r="BD30" s="240"/>
      <c r="BE30" s="87"/>
      <c r="BF30" s="234"/>
      <c r="BG30" s="115"/>
      <c r="BH30" s="115"/>
      <c r="BI30" s="115"/>
      <c r="BJ30" s="115"/>
      <c r="BK30" s="87"/>
      <c r="BL30" s="234"/>
    </row>
    <row r="31" ht="3.75" customHeight="1">
      <c r="A31" s="254"/>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4"/>
      <c r="BK31" s="254"/>
      <c r="BL31" s="255"/>
    </row>
    <row r="32">
      <c r="A32" s="245" t="s">
        <v>458</v>
      </c>
      <c r="B32" s="233"/>
      <c r="C32" s="87"/>
      <c r="D32" s="234"/>
      <c r="E32" s="115"/>
      <c r="F32" s="115"/>
      <c r="G32" s="115"/>
      <c r="H32" s="115"/>
      <c r="I32" s="87"/>
      <c r="J32" s="234"/>
      <c r="K32" s="233"/>
      <c r="L32" s="87"/>
      <c r="M32" s="234"/>
      <c r="N32" s="115"/>
      <c r="O32" s="115"/>
      <c r="P32" s="115"/>
      <c r="Q32" s="115"/>
      <c r="R32" s="87"/>
      <c r="S32" s="234"/>
      <c r="T32" s="240"/>
      <c r="U32" s="87"/>
      <c r="V32" s="234"/>
      <c r="W32" s="115"/>
      <c r="X32" s="115"/>
      <c r="Y32" s="115"/>
      <c r="Z32" s="115"/>
      <c r="AA32" s="241"/>
      <c r="AB32" s="234"/>
      <c r="AC32" s="240">
        <f>IFERROR(__xludf.DUMMYFUNCTION("unique('3-M'!M80:U88)"),4.0)</f>
        <v>4</v>
      </c>
      <c r="AD32" s="87" t="str">
        <f>IFERROR(__xludf.DUMMYFUNCTION("""COMPUTED_VALUE"""),"3.NF.A.1")</f>
        <v>3.NF.A.1</v>
      </c>
      <c r="AE32" s="234" t="str">
        <f>IFERROR(__xludf.DUMMYFUNCTION("""COMPUTED_VALUE"""),"Understand a fraction 1/b as the quantity formed by 1 part when a whole is partitioned into b equal parts; understand a fraction a/b as the quantity formed by a parts of size 1/b.")</f>
        <v>Understand a fraction 1/b as the quantity formed by 1 part when a whole is partitioned into b equal parts; understand a fraction a/b as the quantity formed by a parts of size 1/b.</v>
      </c>
      <c r="AF32" s="115" t="b">
        <f>IFERROR(__xludf.DUMMYFUNCTION("""COMPUTED_VALUE"""),TRUE)</f>
        <v>1</v>
      </c>
      <c r="AG32" s="115" t="b">
        <f>IFERROR(__xludf.DUMMYFUNCTION("""COMPUTED_VALUE"""),TRUE)</f>
        <v>1</v>
      </c>
      <c r="AH32" s="115" t="b">
        <f>IFERROR(__xludf.DUMMYFUNCTION("""COMPUTED_VALUE"""),TRUE)</f>
        <v>1</v>
      </c>
      <c r="AI32" s="115" t="b">
        <f>IFERROR(__xludf.DUMMYFUNCTION("""COMPUTED_VALUE"""),TRUE)</f>
        <v>1</v>
      </c>
      <c r="AJ32" s="87" t="str">
        <f>IFERROR(__xludf.DUMMYFUNCTION("""COMPUTED_VALUE"""),"")</f>
        <v/>
      </c>
      <c r="AK32" s="234" t="str">
        <f>IFERROR(__xludf.DUMMYFUNCTION("""COMPUTED_VALUE"""),"")</f>
        <v/>
      </c>
      <c r="AL32" s="240">
        <f>IFERROR(__xludf.DUMMYFUNCTION("unique('4-M'!M70:U83)"),4.0)</f>
        <v>4</v>
      </c>
      <c r="AM32" s="87" t="str">
        <f>IFERROR(__xludf.DUMMYFUNCTION("""COMPUTED_VALUE"""),"4.NF.A.1")</f>
        <v>4.NF.A.1</v>
      </c>
      <c r="AN32" s="234" t="str">
        <f>IFERROR(__xludf.DUMMYFUNCTION("""COMPUTED_VALUE"""),"Explain why a fraction a/b is equivalent to a fraction (n × a)/(n × b) by using visual fraction models, with attention to how the number and size of the parts differ even though the two fractions themselves are the same size. Use this principle to recogni"&amp;"ze and generate equivalent fractions.")</f>
        <v>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v>
      </c>
      <c r="AO32" s="115" t="b">
        <f>IFERROR(__xludf.DUMMYFUNCTION("""COMPUTED_VALUE"""),TRUE)</f>
        <v>1</v>
      </c>
      <c r="AP32" s="115" t="b">
        <f>IFERROR(__xludf.DUMMYFUNCTION("""COMPUTED_VALUE"""),TRUE)</f>
        <v>1</v>
      </c>
      <c r="AQ32" s="115" t="b">
        <f>IFERROR(__xludf.DUMMYFUNCTION("""COMPUTED_VALUE"""),TRUE)</f>
        <v>1</v>
      </c>
      <c r="AR32" s="115" t="b">
        <f>IFERROR(__xludf.DUMMYFUNCTION("""COMPUTED_VALUE"""),TRUE)</f>
        <v>1</v>
      </c>
      <c r="AS32" s="87" t="str">
        <f>IFERROR(__xludf.DUMMYFUNCTION("""COMPUTED_VALUE"""),"")</f>
        <v/>
      </c>
      <c r="AT32" s="234" t="str">
        <f>IFERROR(__xludf.DUMMYFUNCTION("""COMPUTED_VALUE"""),"")</f>
        <v/>
      </c>
      <c r="AU32" s="240" t="str">
        <f>IFERROR(__xludf.DUMMYFUNCTION("unique('5-M'!M74:U86)"),"")</f>
        <v/>
      </c>
      <c r="AV32" s="87" t="str">
        <f>IFERROR(__xludf.DUMMYFUNCTION("""COMPUTED_VALUE"""),"")</f>
        <v/>
      </c>
      <c r="AW32" s="234" t="str">
        <f>IFERROR(__xludf.DUMMYFUNCTION("""COMPUTED_VALUE"""),"")</f>
        <v/>
      </c>
      <c r="AX32" s="115" t="str">
        <f>IFERROR(__xludf.DUMMYFUNCTION("""COMPUTED_VALUE"""),"")</f>
        <v/>
      </c>
      <c r="AY32" s="115" t="str">
        <f>IFERROR(__xludf.DUMMYFUNCTION("""COMPUTED_VALUE"""),"")</f>
        <v/>
      </c>
      <c r="AZ32" s="115" t="str">
        <f>IFERROR(__xludf.DUMMYFUNCTION("""COMPUTED_VALUE"""),"")</f>
        <v/>
      </c>
      <c r="BA32" s="115" t="str">
        <f>IFERROR(__xludf.DUMMYFUNCTION("""COMPUTED_VALUE"""),"")</f>
        <v/>
      </c>
      <c r="BB32" s="87" t="str">
        <f>IFERROR(__xludf.DUMMYFUNCTION("""COMPUTED_VALUE"""),"")</f>
        <v/>
      </c>
      <c r="BC32" s="234" t="str">
        <f>IFERROR(__xludf.DUMMYFUNCTION("""COMPUTED_VALUE"""),"")</f>
        <v/>
      </c>
      <c r="BD32" s="240"/>
      <c r="BE32" s="87"/>
      <c r="BF32" s="234"/>
      <c r="BG32" s="115"/>
      <c r="BH32" s="115"/>
      <c r="BI32" s="115"/>
      <c r="BJ32" s="115"/>
      <c r="BK32" s="87"/>
      <c r="BL32" s="234"/>
    </row>
    <row r="33">
      <c r="A33" s="211"/>
      <c r="B33" s="233"/>
      <c r="C33" s="87"/>
      <c r="D33" s="234"/>
      <c r="E33" s="115"/>
      <c r="F33" s="115"/>
      <c r="G33" s="115"/>
      <c r="H33" s="115"/>
      <c r="I33" s="87"/>
      <c r="J33" s="234"/>
      <c r="K33" s="233"/>
      <c r="L33" s="87"/>
      <c r="M33" s="234"/>
      <c r="N33" s="115"/>
      <c r="O33" s="115"/>
      <c r="P33" s="115"/>
      <c r="Q33" s="115"/>
      <c r="R33" s="87"/>
      <c r="S33" s="234"/>
      <c r="T33" s="240"/>
      <c r="U33" s="87"/>
      <c r="V33" s="234"/>
      <c r="W33" s="115"/>
      <c r="X33" s="115"/>
      <c r="Y33" s="115"/>
      <c r="Z33" s="115"/>
      <c r="AA33" s="241"/>
      <c r="AB33" s="234"/>
      <c r="AC33" s="240" t="str">
        <f>IFERROR(__xludf.DUMMYFUNCTION("""COMPUTED_VALUE"""),"")</f>
        <v/>
      </c>
      <c r="AD33" s="87" t="str">
        <f>IFERROR(__xludf.DUMMYFUNCTION("""COMPUTED_VALUE"""),"")</f>
        <v/>
      </c>
      <c r="AE33" s="234" t="str">
        <f>IFERROR(__xludf.DUMMYFUNCTION("""COMPUTED_VALUE"""),"")</f>
        <v/>
      </c>
      <c r="AF33" s="115" t="str">
        <f>IFERROR(__xludf.DUMMYFUNCTION("""COMPUTED_VALUE"""),"")</f>
        <v/>
      </c>
      <c r="AG33" s="115" t="str">
        <f>IFERROR(__xludf.DUMMYFUNCTION("""COMPUTED_VALUE"""),"")</f>
        <v/>
      </c>
      <c r="AH33" s="115" t="str">
        <f>IFERROR(__xludf.DUMMYFUNCTION("""COMPUTED_VALUE"""),"")</f>
        <v/>
      </c>
      <c r="AI33" s="115" t="str">
        <f>IFERROR(__xludf.DUMMYFUNCTION("""COMPUTED_VALUE"""),"")</f>
        <v/>
      </c>
      <c r="AJ33" s="87" t="str">
        <f>IFERROR(__xludf.DUMMYFUNCTION("""COMPUTED_VALUE"""),"")</f>
        <v/>
      </c>
      <c r="AK33" s="234" t="str">
        <f>IFERROR(__xludf.DUMMYFUNCTION("""COMPUTED_VALUE"""),"")</f>
        <v/>
      </c>
      <c r="AL33" s="240">
        <f>IFERROR(__xludf.DUMMYFUNCTION("""COMPUTED_VALUE"""),4.0)</f>
        <v>4</v>
      </c>
      <c r="AM33" s="87" t="str">
        <f>IFERROR(__xludf.DUMMYFUNCTION("""COMPUTED_VALUE"""),"4.NF.A.2")</f>
        <v>4.NF.A.2</v>
      </c>
      <c r="AN33" s="234" t="str">
        <f>IFERROR(__xludf.DUMMYFUNCTION("""COMPUTED_VALUE"""),"Compare two fractions with different numerators and different denominators, e.g., by creating common denominators or numerators, or by comparing to a benchmark fraction such as 1/2. Recognize that comparisons are valid only when the two fractions refer to"&amp;" the same whole. Record the results of comparisons with symbols &gt;, =, or &lt;, and justify the conclusions, e.g., by using a visual fraction model.")</f>
        <v>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v>
      </c>
      <c r="AO33" s="115" t="b">
        <f>IFERROR(__xludf.DUMMYFUNCTION("""COMPUTED_VALUE"""),TRUE)</f>
        <v>1</v>
      </c>
      <c r="AP33" s="115" t="b">
        <f>IFERROR(__xludf.DUMMYFUNCTION("""COMPUTED_VALUE"""),TRUE)</f>
        <v>1</v>
      </c>
      <c r="AQ33" s="115" t="b">
        <f>IFERROR(__xludf.DUMMYFUNCTION("""COMPUTED_VALUE"""),TRUE)</f>
        <v>1</v>
      </c>
      <c r="AR33" s="115" t="b">
        <f>IFERROR(__xludf.DUMMYFUNCTION("""COMPUTED_VALUE"""),TRUE)</f>
        <v>1</v>
      </c>
      <c r="AS33" s="87" t="str">
        <f>IFERROR(__xludf.DUMMYFUNCTION("""COMPUTED_VALUE"""),"")</f>
        <v/>
      </c>
      <c r="AT33" s="234" t="str">
        <f>IFERROR(__xludf.DUMMYFUNCTION("""COMPUTED_VALUE"""),"")</f>
        <v/>
      </c>
      <c r="AU33" s="240">
        <f>IFERROR(__xludf.DUMMYFUNCTION("""COMPUTED_VALUE"""),3.0)</f>
        <v>3</v>
      </c>
      <c r="AV33" s="87" t="str">
        <f>IFERROR(__xludf.DUMMYFUNCTION("""COMPUTED_VALUE"""),"5.NF.A.2")</f>
        <v>5.NF.A.2</v>
      </c>
      <c r="AW33" s="234" t="str">
        <f>IFERROR(__xludf.DUMMYFUNCTION("""COMPUTED_VALUE"""),"Solve word problems involving addition and subtraction of fractions referring to the same whole, including cases of unlike denominators, e.g., by using visual fraction models or equations to represent the problem. Use benchmark fractions and number sense "&amp;"of fractions to estimate mentally and assess the reasonableness of answers. For example, recognize an incorrect result 2/5 + 1/2 = 3/7, by observing that 3/7 &lt; 1/2.")</f>
        <v>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v>
      </c>
      <c r="AX33" s="115" t="b">
        <f>IFERROR(__xludf.DUMMYFUNCTION("""COMPUTED_VALUE"""),TRUE)</f>
        <v>1</v>
      </c>
      <c r="AY33" s="115" t="b">
        <f>IFERROR(__xludf.DUMMYFUNCTION("""COMPUTED_VALUE"""),FALSE)</f>
        <v>0</v>
      </c>
      <c r="AZ33" s="115" t="b">
        <f>IFERROR(__xludf.DUMMYFUNCTION("""COMPUTED_VALUE"""),TRUE)</f>
        <v>1</v>
      </c>
      <c r="BA33" s="115" t="b">
        <f>IFERROR(__xludf.DUMMYFUNCTION("""COMPUTED_VALUE"""),TRUE)</f>
        <v>1</v>
      </c>
      <c r="BB33" s="87" t="str">
        <f>IFERROR(__xludf.DUMMYFUNCTION("""COMPUTED_VALUE"""),"")</f>
        <v/>
      </c>
      <c r="BC33" s="234" t="str">
        <f>IFERROR(__xludf.DUMMYFUNCTION("""COMPUTED_VALUE"""),"R-used in a variety of problems in 6th, usually as a DoK3
A- 4-6 questions on ACT
L- used in science and real life skills")</f>
        <v>R-used in a variety of problems in 6th, usually as a DoK3
A- 4-6 questions on ACT
L- used in science and real life skills</v>
      </c>
      <c r="BD33" s="240"/>
      <c r="BE33" s="87"/>
      <c r="BF33" s="234"/>
      <c r="BG33" s="115"/>
      <c r="BH33" s="115"/>
      <c r="BI33" s="115"/>
      <c r="BJ33" s="115"/>
      <c r="BK33" s="87"/>
      <c r="BL33" s="234"/>
    </row>
    <row r="34">
      <c r="A34" s="211"/>
      <c r="B34" s="233"/>
      <c r="C34" s="87"/>
      <c r="D34" s="234"/>
      <c r="E34" s="115"/>
      <c r="F34" s="115"/>
      <c r="G34" s="115"/>
      <c r="H34" s="115"/>
      <c r="I34" s="87"/>
      <c r="J34" s="234"/>
      <c r="K34" s="233"/>
      <c r="L34" s="87"/>
      <c r="M34" s="234"/>
      <c r="N34" s="115"/>
      <c r="O34" s="115"/>
      <c r="P34" s="115"/>
      <c r="Q34" s="115"/>
      <c r="R34" s="87"/>
      <c r="S34" s="234"/>
      <c r="T34" s="240"/>
      <c r="U34" s="87"/>
      <c r="V34" s="234"/>
      <c r="W34" s="115"/>
      <c r="X34" s="115"/>
      <c r="Y34" s="115"/>
      <c r="Z34" s="115"/>
      <c r="AA34" s="241"/>
      <c r="AB34" s="234"/>
      <c r="AC34" s="240">
        <f>IFERROR(__xludf.DUMMYFUNCTION("""COMPUTED_VALUE"""),4.0)</f>
        <v>4</v>
      </c>
      <c r="AD34" s="87" t="str">
        <f>IFERROR(__xludf.DUMMYFUNCTION("""COMPUTED_VALUE"""),"3.NF.A.3b")</f>
        <v>3.NF.A.3b</v>
      </c>
      <c r="AE34" s="234" t="str">
        <f>IFERROR(__xludf.DUMMYFUNCTION("""COMPUTED_VALUE"""),"Recognize and generate simple equivalent fractions, e.g., 1/2 = 2/4, 4/6 = 2/3. Explain why the fractions are equivalent, e.g., by using a visual fraction model.")</f>
        <v>Recognize and generate simple equivalent fractions, e.g., 1/2 = 2/4, 4/6 = 2/3. Explain why the fractions are equivalent, e.g., by using a visual fraction model.</v>
      </c>
      <c r="AF34" s="115" t="b">
        <f>IFERROR(__xludf.DUMMYFUNCTION("""COMPUTED_VALUE"""),TRUE)</f>
        <v>1</v>
      </c>
      <c r="AG34" s="115" t="b">
        <f>IFERROR(__xludf.DUMMYFUNCTION("""COMPUTED_VALUE"""),TRUE)</f>
        <v>1</v>
      </c>
      <c r="AH34" s="115" t="b">
        <f>IFERROR(__xludf.DUMMYFUNCTION("""COMPUTED_VALUE"""),TRUE)</f>
        <v>1</v>
      </c>
      <c r="AI34" s="115" t="b">
        <f>IFERROR(__xludf.DUMMYFUNCTION("""COMPUTED_VALUE"""),TRUE)</f>
        <v>1</v>
      </c>
      <c r="AJ34" s="87" t="str">
        <f>IFERROR(__xludf.DUMMYFUNCTION("""COMPUTED_VALUE"""),"")</f>
        <v/>
      </c>
      <c r="AK34" s="234" t="str">
        <f>IFERROR(__xludf.DUMMYFUNCTION("""COMPUTED_VALUE"""),"")</f>
        <v/>
      </c>
      <c r="AL34" s="240" t="str">
        <f>IFERROR(__xludf.DUMMYFUNCTION("""COMPUTED_VALUE"""),"")</f>
        <v/>
      </c>
      <c r="AM34" s="87" t="str">
        <f>IFERROR(__xludf.DUMMYFUNCTION("""COMPUTED_VALUE"""),"")</f>
        <v/>
      </c>
      <c r="AN34" s="234" t="str">
        <f>IFERROR(__xludf.DUMMYFUNCTION("""COMPUTED_VALUE"""),"")</f>
        <v/>
      </c>
      <c r="AO34" s="115" t="str">
        <f>IFERROR(__xludf.DUMMYFUNCTION("""COMPUTED_VALUE"""),"")</f>
        <v/>
      </c>
      <c r="AP34" s="115" t="str">
        <f>IFERROR(__xludf.DUMMYFUNCTION("""COMPUTED_VALUE"""),"")</f>
        <v/>
      </c>
      <c r="AQ34" s="115" t="str">
        <f>IFERROR(__xludf.DUMMYFUNCTION("""COMPUTED_VALUE"""),"")</f>
        <v/>
      </c>
      <c r="AR34" s="115" t="str">
        <f>IFERROR(__xludf.DUMMYFUNCTION("""COMPUTED_VALUE"""),"")</f>
        <v/>
      </c>
      <c r="AS34" s="87" t="str">
        <f>IFERROR(__xludf.DUMMYFUNCTION("""COMPUTED_VALUE"""),"")</f>
        <v/>
      </c>
      <c r="AT34" s="234" t="str">
        <f>IFERROR(__xludf.DUMMYFUNCTION("""COMPUTED_VALUE"""),"")</f>
        <v/>
      </c>
      <c r="AU34" s="240">
        <f>IFERROR(__xludf.DUMMYFUNCTION("""COMPUTED_VALUE"""),4.0)</f>
        <v>4</v>
      </c>
      <c r="AV34" s="87" t="str">
        <f>IFERROR(__xludf.DUMMYFUNCTION("""COMPUTED_VALUE"""),"5.NF.B.4a")</f>
        <v>5.NF.B.4a</v>
      </c>
      <c r="AW34" s="234" t="str">
        <f>IFERROR(__xludf.DUMMYFUNCTION("""COMPUTED_VALUE"""),"Interpret the product (a/b) × q as a parts of a partition of q into b equal parts; equivalently, as the result of a sequence of operations a × q ÷ b. For example, use a visual fraction model to show (2/3) × 4 = 8/3, and create a story context for this equ"&amp;"ation. Do the same with (2/3) × (4/5) = 8/15. (In general, (a/b) × (c/d) = ac/bd.)")</f>
        <v>Interpret the product (a/b) × q as a parts of a partition of q into b equal parts; equivalently, as the result of a sequence of operations a × q ÷ b. For example, use a visual fraction model to show (2/3) × 4 = 8/3, and create a story context for this equation. Do the same with (2/3) × (4/5) = 8/15. (In general, (a/b) × (c/d) = ac/bd.)</v>
      </c>
      <c r="AX34" s="115" t="b">
        <f>IFERROR(__xludf.DUMMYFUNCTION("""COMPUTED_VALUE"""),TRUE)</f>
        <v>1</v>
      </c>
      <c r="AY34" s="115" t="b">
        <f>IFERROR(__xludf.DUMMYFUNCTION("""COMPUTED_VALUE"""),TRUE)</f>
        <v>1</v>
      </c>
      <c r="AZ34" s="115" t="b">
        <f>IFERROR(__xludf.DUMMYFUNCTION("""COMPUTED_VALUE"""),TRUE)</f>
        <v>1</v>
      </c>
      <c r="BA34" s="115" t="b">
        <f>IFERROR(__xludf.DUMMYFUNCTION("""COMPUTED_VALUE"""),TRUE)</f>
        <v>1</v>
      </c>
      <c r="BB34" s="87" t="str">
        <f>IFERROR(__xludf.DUMMYFUNCTION("""COMPUTED_VALUE"""),"")</f>
        <v/>
      </c>
      <c r="BC34" s="234" t="str">
        <f>IFERROR(__xludf.DUMMYFUNCTION("""COMPUTED_VALUE"""),"R- needed for foundational skill in 6th grade and beyond
E- critical understanding to perform algebra
A- 4-6 questions on ACT Aspire
L- used in science and real world skills (needed for equal sharing)")</f>
        <v>R- needed for foundational skill in 6th grade and beyond
E- critical understanding to perform algebra
A- 4-6 questions on ACT Aspire
L- used in science and real world skills (needed for equal sharing)</v>
      </c>
      <c r="BD34" s="240"/>
      <c r="BE34" s="87"/>
      <c r="BF34" s="234"/>
      <c r="BG34" s="115"/>
      <c r="BH34" s="115"/>
      <c r="BI34" s="115"/>
      <c r="BJ34" s="115"/>
      <c r="BK34" s="87"/>
      <c r="BL34" s="234"/>
    </row>
    <row r="35">
      <c r="A35" s="211"/>
      <c r="B35" s="233"/>
      <c r="C35" s="87"/>
      <c r="D35" s="234"/>
      <c r="E35" s="115"/>
      <c r="F35" s="115"/>
      <c r="G35" s="115"/>
      <c r="H35" s="115"/>
      <c r="I35" s="87"/>
      <c r="J35" s="234"/>
      <c r="K35" s="233"/>
      <c r="L35" s="87"/>
      <c r="M35" s="234"/>
      <c r="N35" s="115"/>
      <c r="O35" s="115"/>
      <c r="P35" s="115"/>
      <c r="Q35" s="115"/>
      <c r="R35" s="87"/>
      <c r="S35" s="234"/>
      <c r="T35" s="240"/>
      <c r="U35" s="87"/>
      <c r="V35" s="234"/>
      <c r="W35" s="115"/>
      <c r="X35" s="115"/>
      <c r="Y35" s="115"/>
      <c r="Z35" s="115"/>
      <c r="AA35" s="241"/>
      <c r="AB35" s="234"/>
      <c r="AC35" s="240"/>
      <c r="AD35" s="87"/>
      <c r="AE35" s="234"/>
      <c r="AF35" s="115"/>
      <c r="AG35" s="115"/>
      <c r="AH35" s="115"/>
      <c r="AI35" s="115"/>
      <c r="AJ35" s="87"/>
      <c r="AK35" s="234"/>
      <c r="AL35" s="240">
        <f>IFERROR(__xludf.DUMMYFUNCTION("""COMPUTED_VALUE"""),4.0)</f>
        <v>4</v>
      </c>
      <c r="AM35" s="87" t="str">
        <f>IFERROR(__xludf.DUMMYFUNCTION("""COMPUTED_VALUE"""),"4.NF.B.3a")</f>
        <v>4.NF.B.3a</v>
      </c>
      <c r="AN35" s="234" t="str">
        <f>IFERROR(__xludf.DUMMYFUNCTION("""COMPUTED_VALUE"""),"Understand addition and subtraction of fractions as joining and separating parts referring to the same whole.")</f>
        <v>Understand addition and subtraction of fractions as joining and separating parts referring to the same whole.</v>
      </c>
      <c r="AO35" s="115" t="b">
        <f>IFERROR(__xludf.DUMMYFUNCTION("""COMPUTED_VALUE"""),TRUE)</f>
        <v>1</v>
      </c>
      <c r="AP35" s="115" t="b">
        <f>IFERROR(__xludf.DUMMYFUNCTION("""COMPUTED_VALUE"""),TRUE)</f>
        <v>1</v>
      </c>
      <c r="AQ35" s="115" t="b">
        <f>IFERROR(__xludf.DUMMYFUNCTION("""COMPUTED_VALUE"""),TRUE)</f>
        <v>1</v>
      </c>
      <c r="AR35" s="115" t="b">
        <f>IFERROR(__xludf.DUMMYFUNCTION("""COMPUTED_VALUE"""),TRUE)</f>
        <v>1</v>
      </c>
      <c r="AS35" s="87" t="str">
        <f>IFERROR(__xludf.DUMMYFUNCTION("""COMPUTED_VALUE"""),"")</f>
        <v/>
      </c>
      <c r="AT35" s="234" t="str">
        <f>IFERROR(__xludf.DUMMYFUNCTION("""COMPUTED_VALUE"""),"")</f>
        <v/>
      </c>
      <c r="AU35" s="240">
        <f>IFERROR(__xludf.DUMMYFUNCTION("""COMPUTED_VALUE"""),4.0)</f>
        <v>4</v>
      </c>
      <c r="AV35" s="87" t="str">
        <f>IFERROR(__xludf.DUMMYFUNCTION("""COMPUTED_VALUE"""),"5.NF.B.4b")</f>
        <v>5.NF.B.4b</v>
      </c>
      <c r="AW35" s="234" t="str">
        <f>IFERROR(__xludf.DUMMYFUNCTION("""COMPUTED_VALUE"""),"Find the area of a rectangle with fractional side lengths by tiling it with unit squares of the appropriate unit fraction side lengths, and show that the area is the same as would be found by multiplying the side lengths. Multiply fractional side lengths "&amp;"to find areas of rectangles, and represent fraction products as rectangular areas.")</f>
        <v>Find the area of a rectangle with fractional side lengths by tiling it with unit squares of the appropriate unit fraction side lengths, and show that the area is the same as would be found by multiplying the side lengths. Multiply fractional side lengths to find areas of rectangles, and represent fraction products as rectangular areas.</v>
      </c>
      <c r="AX35" s="115" t="b">
        <f>IFERROR(__xludf.DUMMYFUNCTION("""COMPUTED_VALUE"""),TRUE)</f>
        <v>1</v>
      </c>
      <c r="AY35" s="115" t="b">
        <f>IFERROR(__xludf.DUMMYFUNCTION("""COMPUTED_VALUE"""),TRUE)</f>
        <v>1</v>
      </c>
      <c r="AZ35" s="115" t="b">
        <f>IFERROR(__xludf.DUMMYFUNCTION("""COMPUTED_VALUE"""),TRUE)</f>
        <v>1</v>
      </c>
      <c r="BA35" s="115" t="b">
        <f>IFERROR(__xludf.DUMMYFUNCTION("""COMPUTED_VALUE"""),TRUE)</f>
        <v>1</v>
      </c>
      <c r="BB35" s="87" t="str">
        <f>IFERROR(__xludf.DUMMYFUNCTION("""COMPUTED_VALUE"""),"")</f>
        <v/>
      </c>
      <c r="BC35" s="234" t="str">
        <f>IFERROR(__xludf.DUMMYFUNCTION("""COMPUTED_VALUE"""),"R- needed for foundational skill in 6th grade and beyond
E- critical understanding to perform algebra
A- 4-6 questions on ACT Aspire
L- used in science and real world skills (needed for equal sharing)")</f>
        <v>R- needed for foundational skill in 6th grade and beyond
E- critical understanding to perform algebra
A- 4-6 questions on ACT Aspire
L- used in science and real world skills (needed for equal sharing)</v>
      </c>
      <c r="BD35" s="240"/>
      <c r="BE35" s="87"/>
      <c r="BF35" s="234"/>
      <c r="BG35" s="115"/>
      <c r="BH35" s="115"/>
      <c r="BI35" s="115"/>
      <c r="BJ35" s="115"/>
      <c r="BK35" s="87"/>
      <c r="BL35" s="234"/>
    </row>
    <row r="36">
      <c r="A36" s="211"/>
      <c r="B36" s="233"/>
      <c r="C36" s="87"/>
      <c r="D36" s="234"/>
      <c r="E36" s="115"/>
      <c r="F36" s="115"/>
      <c r="G36" s="115"/>
      <c r="H36" s="115"/>
      <c r="I36" s="87"/>
      <c r="J36" s="234"/>
      <c r="K36" s="233"/>
      <c r="L36" s="87"/>
      <c r="M36" s="234"/>
      <c r="N36" s="115"/>
      <c r="O36" s="115"/>
      <c r="P36" s="115"/>
      <c r="Q36" s="115"/>
      <c r="R36" s="87"/>
      <c r="S36" s="234"/>
      <c r="T36" s="240"/>
      <c r="U36" s="87"/>
      <c r="V36" s="234"/>
      <c r="W36" s="115"/>
      <c r="X36" s="115"/>
      <c r="Y36" s="115"/>
      <c r="Z36" s="115"/>
      <c r="AA36" s="241"/>
      <c r="AB36" s="234"/>
      <c r="AC36" s="240"/>
      <c r="AD36" s="87"/>
      <c r="AE36" s="234"/>
      <c r="AF36" s="115"/>
      <c r="AG36" s="115"/>
      <c r="AH36" s="115"/>
      <c r="AI36" s="115"/>
      <c r="AJ36" s="87"/>
      <c r="AK36" s="234"/>
      <c r="AL36" s="240">
        <f>IFERROR(__xludf.DUMMYFUNCTION("""COMPUTED_VALUE"""),4.0)</f>
        <v>4</v>
      </c>
      <c r="AM36" s="87" t="str">
        <f>IFERROR(__xludf.DUMMYFUNCTION("""COMPUTED_VALUE"""),"4.NF.B.3c")</f>
        <v>4.NF.B.3c</v>
      </c>
      <c r="AN36" s="234" t="str">
        <f>IFERROR(__xludf.DUMMYFUNCTION("""COMPUTED_VALUE"""),"Add and subtract mixed numbers with like denominators, e.g., by replacing each mixed number with an equivalent fraction, and/or by using properties of operations and the relationship between addition and subtraction.")</f>
        <v>Add and subtract mixed numbers with like denominators, e.g., by replacing each mixed number with an equivalent fraction, and/or by using properties of operations and the relationship between addition and subtraction.</v>
      </c>
      <c r="AO36" s="115" t="b">
        <f>IFERROR(__xludf.DUMMYFUNCTION("""COMPUTED_VALUE"""),TRUE)</f>
        <v>1</v>
      </c>
      <c r="AP36" s="115" t="b">
        <f>IFERROR(__xludf.DUMMYFUNCTION("""COMPUTED_VALUE"""),TRUE)</f>
        <v>1</v>
      </c>
      <c r="AQ36" s="115" t="b">
        <f>IFERROR(__xludf.DUMMYFUNCTION("""COMPUTED_VALUE"""),TRUE)</f>
        <v>1</v>
      </c>
      <c r="AR36" s="115" t="b">
        <f>IFERROR(__xludf.DUMMYFUNCTION("""COMPUTED_VALUE"""),TRUE)</f>
        <v>1</v>
      </c>
      <c r="AS36" s="87" t="str">
        <f>IFERROR(__xludf.DUMMYFUNCTION("""COMPUTED_VALUE"""),"")</f>
        <v/>
      </c>
      <c r="AT36" s="234" t="str">
        <f>IFERROR(__xludf.DUMMYFUNCTION("""COMPUTED_VALUE"""),"")</f>
        <v/>
      </c>
      <c r="AU36" s="240">
        <f>IFERROR(__xludf.DUMMYFUNCTION("""COMPUTED_VALUE"""),3.0)</f>
        <v>3</v>
      </c>
      <c r="AV36" s="87" t="str">
        <f>IFERROR(__xludf.DUMMYFUNCTION("""COMPUTED_VALUE"""),"5.NF.B.7c")</f>
        <v>5.NF.B.7c</v>
      </c>
      <c r="AW36" s="234" t="str">
        <f>IFERROR(__xludf.DUMMYFUNCTION("""COMPUTED_VALUE"""),"Solve real world problems involving division of unit fractions by non-zero whole numbers and division of whole numbers by unit fractions, e.g., by using visual fraction models and equations to represent the problem. For example, how much chocolate will ea"&amp;"ch person get if 3 people share 1/2 lb of chocolate equally? How many 1/3-cup servings are in 2 cups of raisins?")</f>
        <v>Solve real world problems involving division of unit fractions by non-zero whole numbers and division of whole numbers by unit fractions, e.g., by using visual fraction models and equations to represent the problem. For example, how much chocolate will each person get if 3 people share 1/2 lb of chocolate equally? How many 1/3-cup servings are in 2 cups of raisins?</v>
      </c>
      <c r="AX36" s="115" t="b">
        <f>IFERROR(__xludf.DUMMYFUNCTION("""COMPUTED_VALUE"""),TRUE)</f>
        <v>1</v>
      </c>
      <c r="AY36" s="115" t="b">
        <f>IFERROR(__xludf.DUMMYFUNCTION("""COMPUTED_VALUE"""),FALSE)</f>
        <v>0</v>
      </c>
      <c r="AZ36" s="115" t="b">
        <f>IFERROR(__xludf.DUMMYFUNCTION("""COMPUTED_VALUE"""),TRUE)</f>
        <v>1</v>
      </c>
      <c r="BA36" s="115" t="b">
        <f>IFERROR(__xludf.DUMMYFUNCTION("""COMPUTED_VALUE"""),TRUE)</f>
        <v>1</v>
      </c>
      <c r="BB36" s="87" t="str">
        <f>IFERROR(__xludf.DUMMYFUNCTION("""COMPUTED_VALUE"""),"")</f>
        <v/>
      </c>
      <c r="BC36" s="234" t="str">
        <f>IFERROR(__xludf.DUMMYFUNCTION("""COMPUTED_VALUE"""),"R- useful for foundational skill in 6th grade and beyond
A- 4-6 questions on ACT Aspire
L- used in science and real world skills (needed for equal sharing)")</f>
        <v>R- useful for foundational skill in 6th grade and beyond
A- 4-6 questions on ACT Aspire
L- used in science and real world skills (needed for equal sharing)</v>
      </c>
      <c r="BD36" s="240"/>
      <c r="BE36" s="87"/>
      <c r="BF36" s="234"/>
      <c r="BG36" s="115"/>
      <c r="BH36" s="115"/>
      <c r="BI36" s="115"/>
      <c r="BJ36" s="115"/>
      <c r="BK36" s="87"/>
      <c r="BL36" s="234"/>
    </row>
    <row r="37">
      <c r="A37" s="212"/>
      <c r="B37" s="233"/>
      <c r="C37" s="87"/>
      <c r="D37" s="234"/>
      <c r="E37" s="115"/>
      <c r="F37" s="115"/>
      <c r="G37" s="115"/>
      <c r="H37" s="115"/>
      <c r="I37" s="87"/>
      <c r="J37" s="234"/>
      <c r="K37" s="233"/>
      <c r="L37" s="87"/>
      <c r="M37" s="234"/>
      <c r="N37" s="115"/>
      <c r="O37" s="115"/>
      <c r="P37" s="115"/>
      <c r="Q37" s="115"/>
      <c r="R37" s="87"/>
      <c r="S37" s="234"/>
      <c r="T37" s="240"/>
      <c r="U37" s="87"/>
      <c r="V37" s="234"/>
      <c r="W37" s="115"/>
      <c r="X37" s="115"/>
      <c r="Y37" s="115"/>
      <c r="Z37" s="115"/>
      <c r="AA37" s="241"/>
      <c r="AB37" s="234"/>
      <c r="AC37" s="240"/>
      <c r="AD37" s="87"/>
      <c r="AE37" s="234"/>
      <c r="AF37" s="115"/>
      <c r="AG37" s="115"/>
      <c r="AH37" s="115"/>
      <c r="AI37" s="115"/>
      <c r="AJ37" s="87"/>
      <c r="AK37" s="234"/>
      <c r="AL37" s="240">
        <f>IFERROR(__xludf.DUMMYFUNCTION("""COMPUTED_VALUE"""),4.0)</f>
        <v>4</v>
      </c>
      <c r="AM37" s="87" t="str">
        <f>IFERROR(__xludf.DUMMYFUNCTION("""COMPUTED_VALUE"""),"4.NF.B.4a")</f>
        <v>4.NF.B.4a</v>
      </c>
      <c r="AN37" s="234" t="str">
        <f>IFERROR(__xludf.DUMMYFUNCTION("""COMPUTED_VALUE"""),"Understand a fraction a/b as a multiple of 1/b. For example, use a visual fraction model to represent 5/4 as the product 5 × (1/4), recording the conclusion by the equation 5/4 = 5 × (1/4).")</f>
        <v>Understand a fraction a/b as a multiple of 1/b. For example, use a visual fraction model to represent 5/4 as the product 5 × (1/4), recording the conclusion by the equation 5/4 = 5 × (1/4).</v>
      </c>
      <c r="AO37" s="115" t="b">
        <f>IFERROR(__xludf.DUMMYFUNCTION("""COMPUTED_VALUE"""),TRUE)</f>
        <v>1</v>
      </c>
      <c r="AP37" s="115" t="b">
        <f>IFERROR(__xludf.DUMMYFUNCTION("""COMPUTED_VALUE"""),TRUE)</f>
        <v>1</v>
      </c>
      <c r="AQ37" s="115" t="b">
        <f>IFERROR(__xludf.DUMMYFUNCTION("""COMPUTED_VALUE"""),TRUE)</f>
        <v>1</v>
      </c>
      <c r="AR37" s="115" t="b">
        <f>IFERROR(__xludf.DUMMYFUNCTION("""COMPUTED_VALUE"""),TRUE)</f>
        <v>1</v>
      </c>
      <c r="AS37" s="87" t="str">
        <f>IFERROR(__xludf.DUMMYFUNCTION("""COMPUTED_VALUE"""),"")</f>
        <v/>
      </c>
      <c r="AT37" s="234" t="str">
        <f>IFERROR(__xludf.DUMMYFUNCTION("""COMPUTED_VALUE"""),"R - Necessary for the following grades
E - ")</f>
        <v>R - Necessary for the following grades
E - </v>
      </c>
      <c r="AU37" s="240"/>
      <c r="AV37" s="87"/>
      <c r="AW37" s="234"/>
      <c r="AX37" s="115"/>
      <c r="AY37" s="115"/>
      <c r="AZ37" s="115"/>
      <c r="BA37" s="115"/>
      <c r="BB37" s="87"/>
      <c r="BC37" s="234"/>
      <c r="BD37" s="240"/>
      <c r="BE37" s="87"/>
      <c r="BF37" s="234"/>
      <c r="BG37" s="115"/>
      <c r="BH37" s="115"/>
      <c r="BI37" s="115"/>
      <c r="BJ37" s="115"/>
      <c r="BK37" s="87"/>
      <c r="BL37" s="234"/>
    </row>
    <row r="38" ht="3.75" customHeight="1">
      <c r="A38" s="254"/>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5"/>
    </row>
    <row r="39">
      <c r="A39" s="249" t="s">
        <v>827</v>
      </c>
      <c r="B39" s="233"/>
      <c r="C39" s="87"/>
      <c r="D39" s="234"/>
      <c r="E39" s="115"/>
      <c r="F39" s="115"/>
      <c r="G39" s="115"/>
      <c r="H39" s="115"/>
      <c r="I39" s="87"/>
      <c r="J39" s="234"/>
      <c r="K39" s="233"/>
      <c r="L39" s="87"/>
      <c r="M39" s="234"/>
      <c r="N39" s="115"/>
      <c r="O39" s="115"/>
      <c r="P39" s="115"/>
      <c r="Q39" s="115"/>
      <c r="R39" s="87"/>
      <c r="S39" s="234"/>
      <c r="T39" s="240"/>
      <c r="U39" s="87"/>
      <c r="V39" s="234"/>
      <c r="W39" s="115"/>
      <c r="X39" s="115"/>
      <c r="Y39" s="115"/>
      <c r="Z39" s="115"/>
      <c r="AA39" s="241"/>
      <c r="AB39" s="234"/>
      <c r="AC39" s="240"/>
      <c r="AD39" s="87"/>
      <c r="AE39" s="234"/>
      <c r="AF39" s="115"/>
      <c r="AG39" s="115"/>
      <c r="AH39" s="115"/>
      <c r="AI39" s="115"/>
      <c r="AJ39" s="87"/>
      <c r="AK39" s="234"/>
      <c r="AL39" s="240"/>
      <c r="AM39" s="87"/>
      <c r="AN39" s="234"/>
      <c r="AO39" s="115"/>
      <c r="AP39" s="115"/>
      <c r="AQ39" s="115"/>
      <c r="AR39" s="115"/>
      <c r="AS39" s="87"/>
      <c r="AT39" s="234"/>
      <c r="AU39" s="240"/>
      <c r="AV39" s="87"/>
      <c r="AW39" s="234"/>
      <c r="AX39" s="115"/>
      <c r="AY39" s="115"/>
      <c r="AZ39" s="115"/>
      <c r="BA39" s="115"/>
      <c r="BB39" s="87"/>
      <c r="BC39" s="234"/>
      <c r="BD39" s="240" t="str">
        <f>IFERROR(__xludf.DUMMYFUNCTION("unique('6-M'!M87:U93)"),"")</f>
        <v/>
      </c>
      <c r="BE39" s="87" t="str">
        <f>IFERROR(__xludf.DUMMYFUNCTION("""COMPUTED_VALUE"""),"")</f>
        <v/>
      </c>
      <c r="BF39" s="234" t="str">
        <f>IFERROR(__xludf.DUMMYFUNCTION("""COMPUTED_VALUE"""),"")</f>
        <v/>
      </c>
      <c r="BG39" s="115" t="str">
        <f>IFERROR(__xludf.DUMMYFUNCTION("""COMPUTED_VALUE"""),"")</f>
        <v/>
      </c>
      <c r="BH39" s="115" t="str">
        <f>IFERROR(__xludf.DUMMYFUNCTION("""COMPUTED_VALUE"""),"")</f>
        <v/>
      </c>
      <c r="BI39" s="115" t="str">
        <f>IFERROR(__xludf.DUMMYFUNCTION("""COMPUTED_VALUE"""),"")</f>
        <v/>
      </c>
      <c r="BJ39" s="115" t="str">
        <f>IFERROR(__xludf.DUMMYFUNCTION("""COMPUTED_VALUE"""),"")</f>
        <v/>
      </c>
      <c r="BK39" s="87" t="str">
        <f>IFERROR(__xludf.DUMMYFUNCTION("""COMPUTED_VALUE"""),"")</f>
        <v/>
      </c>
      <c r="BL39" s="234" t="str">
        <f>IFERROR(__xludf.DUMMYFUNCTION("""COMPUTED_VALUE"""),"")</f>
        <v/>
      </c>
    </row>
    <row r="40">
      <c r="A40" s="211"/>
      <c r="B40" s="233"/>
      <c r="C40" s="87"/>
      <c r="D40" s="234"/>
      <c r="E40" s="115"/>
      <c r="F40" s="115"/>
      <c r="G40" s="115"/>
      <c r="H40" s="115"/>
      <c r="I40" s="87"/>
      <c r="J40" s="234"/>
      <c r="K40" s="233"/>
      <c r="L40" s="87"/>
      <c r="M40" s="234"/>
      <c r="N40" s="115"/>
      <c r="O40" s="115"/>
      <c r="P40" s="115"/>
      <c r="Q40" s="115"/>
      <c r="R40" s="87"/>
      <c r="S40" s="234"/>
      <c r="T40" s="240"/>
      <c r="U40" s="87"/>
      <c r="V40" s="234"/>
      <c r="W40" s="115"/>
      <c r="X40" s="115"/>
      <c r="Y40" s="115"/>
      <c r="Z40" s="115"/>
      <c r="AA40" s="241"/>
      <c r="AB40" s="234"/>
      <c r="AC40" s="240"/>
      <c r="AD40" s="87"/>
      <c r="AE40" s="234"/>
      <c r="AF40" s="115"/>
      <c r="AG40" s="115"/>
      <c r="AH40" s="115"/>
      <c r="AI40" s="115"/>
      <c r="AJ40" s="87"/>
      <c r="AK40" s="234"/>
      <c r="AL40" s="240"/>
      <c r="AM40" s="87"/>
      <c r="AN40" s="234"/>
      <c r="AO40" s="115"/>
      <c r="AP40" s="115"/>
      <c r="AQ40" s="115"/>
      <c r="AR40" s="115"/>
      <c r="AS40" s="87"/>
      <c r="AT40" s="234"/>
      <c r="AU40" s="240"/>
      <c r="AV40" s="87"/>
      <c r="AW40" s="234"/>
      <c r="AX40" s="115"/>
      <c r="AY40" s="115"/>
      <c r="AZ40" s="115"/>
      <c r="BA40" s="115"/>
      <c r="BB40" s="87"/>
      <c r="BC40" s="234"/>
      <c r="BD40" s="240">
        <f>IFERROR(__xludf.DUMMYFUNCTION("""COMPUTED_VALUE"""),4.0)</f>
        <v>4</v>
      </c>
      <c r="BE40" s="87" t="str">
        <f>IFERROR(__xludf.DUMMYFUNCTION("""COMPUTED_VALUE"""),"6.RP.A.3")</f>
        <v>6.RP.A.3</v>
      </c>
      <c r="BF40" s="234" t="str">
        <f>IFERROR(__xludf.DUMMYFUNCTION("""COMPUTED_VALUE"""),"Use ratio and rate reasoning to solve real-world and mathematical problems, e.g., by reasoning about tables of equivalent ratios, tape diagrams, double number line diagrams, or equations.")</f>
        <v>Use ratio and rate reasoning to solve real-world and mathematical problems, e.g., by reasoning about tables of equivalent ratios, tape diagrams, double number line diagrams, or equations.</v>
      </c>
      <c r="BG40" s="115" t="b">
        <f>IFERROR(__xludf.DUMMYFUNCTION("""COMPUTED_VALUE"""),TRUE)</f>
        <v>1</v>
      </c>
      <c r="BH40" s="115" t="b">
        <f>IFERROR(__xludf.DUMMYFUNCTION("""COMPUTED_VALUE"""),TRUE)</f>
        <v>1</v>
      </c>
      <c r="BI40" s="115" t="b">
        <f>IFERROR(__xludf.DUMMYFUNCTION("""COMPUTED_VALUE"""),TRUE)</f>
        <v>1</v>
      </c>
      <c r="BJ40" s="115" t="b">
        <f>IFERROR(__xludf.DUMMYFUNCTION("""COMPUTED_VALUE"""),TRUE)</f>
        <v>1</v>
      </c>
      <c r="BK40" s="87" t="str">
        <f>IFERROR(__xludf.DUMMYFUNCTION("""COMPUTED_VALUE"""),"")</f>
        <v/>
      </c>
      <c r="BL40" s="234" t="str">
        <f>IFERROR(__xludf.DUMMYFUNCTION("""COMPUTED_VALUE"""),"R- used heavily in 7th
E- ties into EE skills when finding unknowns
A- 3-5 questions on ACT Aspire
L- intrepreting or predicting science results, real world problems")</f>
        <v>R- used heavily in 7th
E- ties into EE skills when finding unknowns
A- 3-5 questions on ACT Aspire
L- intrepreting or predicting science results, real world problems</v>
      </c>
    </row>
    <row r="41">
      <c r="A41" s="211"/>
      <c r="B41" s="233"/>
      <c r="C41" s="87"/>
      <c r="D41" s="234"/>
      <c r="E41" s="115"/>
      <c r="F41" s="115"/>
      <c r="G41" s="115"/>
      <c r="H41" s="115"/>
      <c r="I41" s="87"/>
      <c r="J41" s="234"/>
      <c r="K41" s="233"/>
      <c r="L41" s="87"/>
      <c r="M41" s="234"/>
      <c r="N41" s="115"/>
      <c r="O41" s="115"/>
      <c r="P41" s="115"/>
      <c r="Q41" s="115"/>
      <c r="R41" s="87"/>
      <c r="S41" s="234"/>
      <c r="T41" s="240"/>
      <c r="U41" s="87"/>
      <c r="V41" s="234"/>
      <c r="W41" s="115"/>
      <c r="X41" s="115"/>
      <c r="Y41" s="115"/>
      <c r="Z41" s="115"/>
      <c r="AA41" s="241"/>
      <c r="AB41" s="234"/>
      <c r="AC41" s="240"/>
      <c r="AD41" s="87"/>
      <c r="AE41" s="234"/>
      <c r="AF41" s="115"/>
      <c r="AG41" s="115"/>
      <c r="AH41" s="115"/>
      <c r="AI41" s="115"/>
      <c r="AJ41" s="87"/>
      <c r="AK41" s="234"/>
      <c r="AL41" s="240"/>
      <c r="AM41" s="87"/>
      <c r="AN41" s="234"/>
      <c r="AO41" s="115"/>
      <c r="AP41" s="115"/>
      <c r="AQ41" s="115"/>
      <c r="AR41" s="115"/>
      <c r="AS41" s="87"/>
      <c r="AT41" s="234"/>
      <c r="AU41" s="240"/>
      <c r="AV41" s="87"/>
      <c r="AW41" s="234"/>
      <c r="AX41" s="115"/>
      <c r="AY41" s="115"/>
      <c r="AZ41" s="115"/>
      <c r="BA41" s="115"/>
      <c r="BB41" s="87"/>
      <c r="BC41" s="234"/>
      <c r="BD41" s="240">
        <f>IFERROR(__xludf.DUMMYFUNCTION("""COMPUTED_VALUE"""),3.0)</f>
        <v>3</v>
      </c>
      <c r="BE41" s="87" t="str">
        <f>IFERROR(__xludf.DUMMYFUNCTION("""COMPUTED_VALUE"""),"6.RP.A.3c")</f>
        <v>6.RP.A.3c</v>
      </c>
      <c r="BF41" s="234" t="str">
        <f>IFERROR(__xludf.DUMMYFUNCTION("""COMPUTED_VALUE"""),"Find a percent of a quantity as a rate per 100 (e.g., 30% of a quantity means 30/100 times the quantity); solve problems involving finding the whole, given a part and the percent.")</f>
        <v>Find a percent of a quantity as a rate per 100 (e.g., 30% of a quantity means 30/100 times the quantity); solve problems involving finding the whole, given a part and the percent.</v>
      </c>
      <c r="BG41" s="115" t="b">
        <f>IFERROR(__xludf.DUMMYFUNCTION("""COMPUTED_VALUE"""),TRUE)</f>
        <v>1</v>
      </c>
      <c r="BH41" s="115" t="b">
        <f>IFERROR(__xludf.DUMMYFUNCTION("""COMPUTED_VALUE"""),FALSE)</f>
        <v>0</v>
      </c>
      <c r="BI41" s="115" t="b">
        <f>IFERROR(__xludf.DUMMYFUNCTION("""COMPUTED_VALUE"""),TRUE)</f>
        <v>1</v>
      </c>
      <c r="BJ41" s="115" t="b">
        <f>IFERROR(__xludf.DUMMYFUNCTION("""COMPUTED_VALUE"""),TRUE)</f>
        <v>1</v>
      </c>
      <c r="BK41" s="87" t="str">
        <f>IFERROR(__xludf.DUMMYFUNCTION("""COMPUTED_VALUE"""),"")</f>
        <v/>
      </c>
      <c r="BL41" s="234" t="str">
        <f>IFERROR(__xludf.DUMMYFUNCTION("""COMPUTED_VALUE"""),"R- used  7th
A- 3-5 questions on ACT Aspire
L- intrepreting or predicting science results, real world problems")</f>
        <v>R- used  7th
A- 3-5 questions on ACT Aspire
L- intrepreting or predicting science results, real world problems</v>
      </c>
    </row>
    <row r="42">
      <c r="A42" s="211"/>
      <c r="B42" s="233"/>
      <c r="C42" s="87"/>
      <c r="D42" s="234"/>
      <c r="E42" s="115"/>
      <c r="F42" s="115"/>
      <c r="G42" s="115"/>
      <c r="H42" s="115"/>
      <c r="I42" s="87"/>
      <c r="J42" s="234"/>
      <c r="K42" s="233"/>
      <c r="L42" s="87"/>
      <c r="M42" s="234"/>
      <c r="N42" s="115"/>
      <c r="O42" s="115"/>
      <c r="P42" s="115"/>
      <c r="Q42" s="115"/>
      <c r="R42" s="87"/>
      <c r="S42" s="234"/>
      <c r="T42" s="240"/>
      <c r="U42" s="87"/>
      <c r="V42" s="234"/>
      <c r="W42" s="115"/>
      <c r="X42" s="115"/>
      <c r="Y42" s="115"/>
      <c r="Z42" s="115"/>
      <c r="AA42" s="241"/>
      <c r="AB42" s="234"/>
      <c r="AC42" s="240"/>
      <c r="AD42" s="87"/>
      <c r="AE42" s="234"/>
      <c r="AF42" s="115"/>
      <c r="AG42" s="115"/>
      <c r="AH42" s="115"/>
      <c r="AI42" s="115"/>
      <c r="AJ42" s="87"/>
      <c r="AK42" s="234"/>
      <c r="AL42" s="240"/>
      <c r="AM42" s="87"/>
      <c r="AN42" s="234"/>
      <c r="AO42" s="115"/>
      <c r="AP42" s="115"/>
      <c r="AQ42" s="115"/>
      <c r="AR42" s="115"/>
      <c r="AS42" s="87"/>
      <c r="AT42" s="234"/>
      <c r="AU42" s="240"/>
      <c r="AV42" s="87"/>
      <c r="AW42" s="234"/>
      <c r="AX42" s="115"/>
      <c r="AY42" s="115"/>
      <c r="AZ42" s="115"/>
      <c r="BA42" s="115"/>
      <c r="BB42" s="87"/>
      <c r="BC42" s="234"/>
      <c r="BD42" s="240"/>
      <c r="BE42" s="87"/>
      <c r="BF42" s="234"/>
      <c r="BG42" s="115"/>
      <c r="BH42" s="115"/>
      <c r="BI42" s="115"/>
      <c r="BJ42" s="115"/>
      <c r="BK42" s="87"/>
      <c r="BL42" s="234"/>
    </row>
    <row r="43">
      <c r="A43" s="211"/>
      <c r="B43" s="233"/>
      <c r="C43" s="87"/>
      <c r="D43" s="234"/>
      <c r="E43" s="115"/>
      <c r="F43" s="115"/>
      <c r="G43" s="115"/>
      <c r="H43" s="115"/>
      <c r="I43" s="87"/>
      <c r="J43" s="234"/>
      <c r="K43" s="233"/>
      <c r="L43" s="87"/>
      <c r="M43" s="234"/>
      <c r="N43" s="115"/>
      <c r="O43" s="115"/>
      <c r="P43" s="115"/>
      <c r="Q43" s="115"/>
      <c r="R43" s="87"/>
      <c r="S43" s="234"/>
      <c r="T43" s="240"/>
      <c r="U43" s="87"/>
      <c r="V43" s="234"/>
      <c r="W43" s="115"/>
      <c r="X43" s="115"/>
      <c r="Y43" s="115"/>
      <c r="Z43" s="115"/>
      <c r="AA43" s="241"/>
      <c r="AB43" s="234"/>
      <c r="AC43" s="240"/>
      <c r="AD43" s="87"/>
      <c r="AE43" s="234"/>
      <c r="AF43" s="115"/>
      <c r="AG43" s="115"/>
      <c r="AH43" s="115"/>
      <c r="AI43" s="115"/>
      <c r="AJ43" s="87"/>
      <c r="AK43" s="234"/>
      <c r="AL43" s="240"/>
      <c r="AM43" s="87"/>
      <c r="AN43" s="234"/>
      <c r="AO43" s="115"/>
      <c r="AP43" s="115"/>
      <c r="AQ43" s="115"/>
      <c r="AR43" s="115"/>
      <c r="AS43" s="87"/>
      <c r="AT43" s="234"/>
      <c r="AU43" s="240"/>
      <c r="AV43" s="87"/>
      <c r="AW43" s="234"/>
      <c r="AX43" s="115"/>
      <c r="AY43" s="115"/>
      <c r="AZ43" s="115"/>
      <c r="BA43" s="115"/>
      <c r="BB43" s="87"/>
      <c r="BC43" s="234"/>
      <c r="BD43" s="240"/>
      <c r="BE43" s="87"/>
      <c r="BF43" s="234"/>
      <c r="BG43" s="115"/>
      <c r="BH43" s="115"/>
      <c r="BI43" s="115"/>
      <c r="BJ43" s="115"/>
      <c r="BK43" s="87"/>
      <c r="BL43" s="234"/>
    </row>
    <row r="44">
      <c r="A44" s="212"/>
      <c r="B44" s="233"/>
      <c r="C44" s="87"/>
      <c r="D44" s="234"/>
      <c r="E44" s="115"/>
      <c r="F44" s="115"/>
      <c r="G44" s="115"/>
      <c r="H44" s="115"/>
      <c r="I44" s="87"/>
      <c r="J44" s="234"/>
      <c r="K44" s="233"/>
      <c r="L44" s="87"/>
      <c r="M44" s="234"/>
      <c r="N44" s="115"/>
      <c r="O44" s="115"/>
      <c r="P44" s="115"/>
      <c r="Q44" s="115"/>
      <c r="R44" s="87"/>
      <c r="S44" s="234"/>
      <c r="T44" s="240"/>
      <c r="U44" s="87"/>
      <c r="V44" s="234"/>
      <c r="W44" s="115"/>
      <c r="X44" s="115"/>
      <c r="Y44" s="115"/>
      <c r="Z44" s="115"/>
      <c r="AA44" s="241"/>
      <c r="AB44" s="234"/>
      <c r="AC44" s="240"/>
      <c r="AD44" s="87"/>
      <c r="AE44" s="234"/>
      <c r="AF44" s="115"/>
      <c r="AG44" s="115"/>
      <c r="AH44" s="115"/>
      <c r="AI44" s="115"/>
      <c r="AJ44" s="87"/>
      <c r="AK44" s="234"/>
      <c r="AL44" s="240"/>
      <c r="AM44" s="87"/>
      <c r="AN44" s="234"/>
      <c r="AO44" s="115"/>
      <c r="AP44" s="115"/>
      <c r="AQ44" s="115"/>
      <c r="AR44" s="115"/>
      <c r="AS44" s="87"/>
      <c r="AT44" s="234"/>
      <c r="AU44" s="240"/>
      <c r="AV44" s="87"/>
      <c r="AW44" s="234"/>
      <c r="AX44" s="115"/>
      <c r="AY44" s="115"/>
      <c r="AZ44" s="115"/>
      <c r="BA44" s="115"/>
      <c r="BB44" s="87"/>
      <c r="BC44" s="234"/>
      <c r="BD44" s="240"/>
      <c r="BE44" s="87"/>
      <c r="BF44" s="234"/>
      <c r="BG44" s="115"/>
      <c r="BH44" s="115"/>
      <c r="BI44" s="115"/>
      <c r="BJ44" s="115"/>
      <c r="BK44" s="87"/>
      <c r="BL44" s="234"/>
    </row>
    <row r="45" ht="3.75" customHeight="1">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5"/>
    </row>
    <row r="46">
      <c r="A46" s="204" t="s">
        <v>726</v>
      </c>
      <c r="B46" s="233" t="str">
        <f>IFERROR(__xludf.DUMMYFUNCTION("unique('K-M'!M51:U60)"),"")</f>
        <v/>
      </c>
      <c r="C46" s="87" t="str">
        <f>IFERROR(__xludf.DUMMYFUNCTION("""COMPUTED_VALUE"""),"")</f>
        <v/>
      </c>
      <c r="D46" s="234" t="str">
        <f>IFERROR(__xludf.DUMMYFUNCTION("""COMPUTED_VALUE"""),"")</f>
        <v/>
      </c>
      <c r="E46" s="115" t="str">
        <f>IFERROR(__xludf.DUMMYFUNCTION("""COMPUTED_VALUE"""),"")</f>
        <v/>
      </c>
      <c r="F46" s="115" t="str">
        <f>IFERROR(__xludf.DUMMYFUNCTION("""COMPUTED_VALUE"""),"")</f>
        <v/>
      </c>
      <c r="G46" s="115" t="str">
        <f>IFERROR(__xludf.DUMMYFUNCTION("""COMPUTED_VALUE"""),"")</f>
        <v/>
      </c>
      <c r="H46" s="115" t="str">
        <f>IFERROR(__xludf.DUMMYFUNCTION("""COMPUTED_VALUE"""),"")</f>
        <v/>
      </c>
      <c r="I46" s="87" t="str">
        <f>IFERROR(__xludf.DUMMYFUNCTION("""COMPUTED_VALUE"""),"")</f>
        <v/>
      </c>
      <c r="J46" s="234" t="str">
        <f>IFERROR(__xludf.DUMMYFUNCTION("""COMPUTED_VALUE"""),"")</f>
        <v/>
      </c>
      <c r="K46" s="233"/>
      <c r="L46" s="87"/>
      <c r="M46" s="234"/>
      <c r="N46" s="115"/>
      <c r="O46" s="115"/>
      <c r="P46" s="115"/>
      <c r="Q46" s="115"/>
      <c r="R46" s="87"/>
      <c r="S46" s="234"/>
      <c r="T46" s="240"/>
      <c r="U46" s="87"/>
      <c r="V46" s="234"/>
      <c r="W46" s="115"/>
      <c r="X46" s="115"/>
      <c r="Y46" s="115"/>
      <c r="Z46" s="115"/>
      <c r="AA46" s="241"/>
      <c r="AB46" s="234"/>
      <c r="AC46" s="240"/>
      <c r="AD46" s="87"/>
      <c r="AE46" s="234"/>
      <c r="AF46" s="115"/>
      <c r="AG46" s="115"/>
      <c r="AH46" s="115"/>
      <c r="AI46" s="115"/>
      <c r="AJ46" s="87"/>
      <c r="AK46" s="234"/>
      <c r="AL46" s="240"/>
      <c r="AM46" s="87"/>
      <c r="AN46" s="234"/>
      <c r="AO46" s="115"/>
      <c r="AP46" s="115"/>
      <c r="AQ46" s="115"/>
      <c r="AR46" s="115"/>
      <c r="AS46" s="87"/>
      <c r="AT46" s="234"/>
      <c r="AU46" s="240"/>
      <c r="AV46" s="87"/>
      <c r="AW46" s="234"/>
      <c r="AX46" s="115"/>
      <c r="AY46" s="115"/>
      <c r="AZ46" s="115"/>
      <c r="BA46" s="115"/>
      <c r="BB46" s="87"/>
      <c r="BC46" s="234"/>
      <c r="BD46" s="240"/>
      <c r="BE46" s="87"/>
      <c r="BF46" s="234"/>
      <c r="BG46" s="115"/>
      <c r="BH46" s="115"/>
      <c r="BI46" s="115"/>
      <c r="BJ46" s="115"/>
      <c r="BK46" s="87"/>
      <c r="BL46" s="234"/>
    </row>
    <row r="47">
      <c r="A47" s="211"/>
      <c r="B47" s="233"/>
      <c r="C47" s="87"/>
      <c r="D47" s="234"/>
      <c r="E47" s="115"/>
      <c r="F47" s="115"/>
      <c r="G47" s="115"/>
      <c r="H47" s="115"/>
      <c r="I47" s="87"/>
      <c r="J47" s="234"/>
      <c r="K47" s="233"/>
      <c r="L47" s="87"/>
      <c r="M47" s="234"/>
      <c r="N47" s="115"/>
      <c r="O47" s="115"/>
      <c r="P47" s="115"/>
      <c r="Q47" s="115"/>
      <c r="R47" s="87"/>
      <c r="S47" s="234"/>
      <c r="T47" s="240"/>
      <c r="U47" s="87"/>
      <c r="V47" s="234"/>
      <c r="W47" s="115"/>
      <c r="X47" s="115"/>
      <c r="Y47" s="115"/>
      <c r="Z47" s="115"/>
      <c r="AA47" s="241"/>
      <c r="AB47" s="234"/>
      <c r="AC47" s="240"/>
      <c r="AD47" s="87"/>
      <c r="AE47" s="234"/>
      <c r="AF47" s="115"/>
      <c r="AG47" s="115"/>
      <c r="AH47" s="115"/>
      <c r="AI47" s="115"/>
      <c r="AJ47" s="87"/>
      <c r="AK47" s="234"/>
      <c r="AL47" s="240"/>
      <c r="AM47" s="87"/>
      <c r="AN47" s="234"/>
      <c r="AO47" s="115"/>
      <c r="AP47" s="115"/>
      <c r="AQ47" s="115"/>
      <c r="AR47" s="115"/>
      <c r="AS47" s="87"/>
      <c r="AT47" s="234"/>
      <c r="AU47" s="240"/>
      <c r="AV47" s="87"/>
      <c r="AW47" s="234"/>
      <c r="AX47" s="115"/>
      <c r="AY47" s="115"/>
      <c r="AZ47" s="115"/>
      <c r="BA47" s="115"/>
      <c r="BB47" s="87"/>
      <c r="BC47" s="234"/>
      <c r="BD47" s="240"/>
      <c r="BE47" s="87"/>
      <c r="BF47" s="234"/>
      <c r="BG47" s="115"/>
      <c r="BH47" s="115"/>
      <c r="BI47" s="115"/>
      <c r="BJ47" s="115"/>
      <c r="BK47" s="87"/>
      <c r="BL47" s="234"/>
    </row>
    <row r="48">
      <c r="A48" s="211"/>
      <c r="B48" s="233"/>
      <c r="C48" s="87"/>
      <c r="D48" s="234"/>
      <c r="E48" s="115"/>
      <c r="F48" s="115"/>
      <c r="G48" s="115"/>
      <c r="H48" s="115"/>
      <c r="I48" s="87"/>
      <c r="J48" s="234"/>
      <c r="K48" s="233"/>
      <c r="L48" s="87"/>
      <c r="M48" s="234"/>
      <c r="N48" s="115"/>
      <c r="O48" s="115"/>
      <c r="P48" s="115"/>
      <c r="Q48" s="115"/>
      <c r="R48" s="87"/>
      <c r="S48" s="234"/>
      <c r="T48" s="240"/>
      <c r="U48" s="87"/>
      <c r="V48" s="234"/>
      <c r="W48" s="115"/>
      <c r="X48" s="115"/>
      <c r="Y48" s="115"/>
      <c r="Z48" s="115"/>
      <c r="AA48" s="241"/>
      <c r="AB48" s="234"/>
      <c r="AC48" s="240"/>
      <c r="AD48" s="87"/>
      <c r="AE48" s="234"/>
      <c r="AF48" s="115"/>
      <c r="AG48" s="115"/>
      <c r="AH48" s="115"/>
      <c r="AI48" s="115"/>
      <c r="AJ48" s="87"/>
      <c r="AK48" s="234"/>
      <c r="AL48" s="240"/>
      <c r="AM48" s="87"/>
      <c r="AN48" s="234"/>
      <c r="AO48" s="115"/>
      <c r="AP48" s="115"/>
      <c r="AQ48" s="115"/>
      <c r="AR48" s="115"/>
      <c r="AS48" s="87"/>
      <c r="AT48" s="234"/>
      <c r="AU48" s="240"/>
      <c r="AV48" s="87"/>
      <c r="AW48" s="234"/>
      <c r="AX48" s="115"/>
      <c r="AY48" s="115"/>
      <c r="AZ48" s="115"/>
      <c r="BA48" s="115"/>
      <c r="BB48" s="87"/>
      <c r="BC48" s="234"/>
      <c r="BD48" s="240"/>
      <c r="BE48" s="87"/>
      <c r="BF48" s="234"/>
      <c r="BG48" s="115"/>
      <c r="BH48" s="115"/>
      <c r="BI48" s="115"/>
      <c r="BJ48" s="115"/>
      <c r="BK48" s="87"/>
      <c r="BL48" s="234"/>
    </row>
    <row r="49">
      <c r="A49" s="211"/>
      <c r="B49" s="233"/>
      <c r="C49" s="87"/>
      <c r="D49" s="234"/>
      <c r="E49" s="115"/>
      <c r="F49" s="115"/>
      <c r="G49" s="115"/>
      <c r="H49" s="115"/>
      <c r="I49" s="87"/>
      <c r="J49" s="234"/>
      <c r="K49" s="233"/>
      <c r="L49" s="87"/>
      <c r="M49" s="234"/>
      <c r="N49" s="115"/>
      <c r="O49" s="115"/>
      <c r="P49" s="115"/>
      <c r="Q49" s="115"/>
      <c r="R49" s="87"/>
      <c r="S49" s="234"/>
      <c r="T49" s="240"/>
      <c r="U49" s="87"/>
      <c r="V49" s="234"/>
      <c r="W49" s="115"/>
      <c r="X49" s="115"/>
      <c r="Y49" s="115"/>
      <c r="Z49" s="115"/>
      <c r="AA49" s="241"/>
      <c r="AB49" s="234"/>
      <c r="AC49" s="240"/>
      <c r="AD49" s="87"/>
      <c r="AE49" s="234"/>
      <c r="AF49" s="115"/>
      <c r="AG49" s="115"/>
      <c r="AH49" s="115"/>
      <c r="AI49" s="115"/>
      <c r="AJ49" s="87"/>
      <c r="AK49" s="234"/>
      <c r="AL49" s="240"/>
      <c r="AM49" s="87"/>
      <c r="AN49" s="234"/>
      <c r="AO49" s="115"/>
      <c r="AP49" s="115"/>
      <c r="AQ49" s="115"/>
      <c r="AR49" s="115"/>
      <c r="AS49" s="87"/>
      <c r="AT49" s="234"/>
      <c r="AU49" s="240"/>
      <c r="AV49" s="87"/>
      <c r="AW49" s="234"/>
      <c r="AX49" s="115"/>
      <c r="AY49" s="115"/>
      <c r="AZ49" s="115"/>
      <c r="BA49" s="115"/>
      <c r="BB49" s="87"/>
      <c r="BC49" s="234"/>
      <c r="BD49" s="240"/>
      <c r="BE49" s="87"/>
      <c r="BF49" s="234"/>
      <c r="BG49" s="115"/>
      <c r="BH49" s="115"/>
      <c r="BI49" s="115"/>
      <c r="BJ49" s="115"/>
      <c r="BK49" s="87"/>
      <c r="BL49" s="234"/>
    </row>
    <row r="50">
      <c r="A50" s="212"/>
      <c r="B50" s="233"/>
      <c r="C50" s="87"/>
      <c r="D50" s="234"/>
      <c r="E50" s="115"/>
      <c r="F50" s="115"/>
      <c r="G50" s="115"/>
      <c r="H50" s="115"/>
      <c r="I50" s="87"/>
      <c r="J50" s="234"/>
      <c r="K50" s="233"/>
      <c r="L50" s="87"/>
      <c r="M50" s="234"/>
      <c r="N50" s="115"/>
      <c r="O50" s="115"/>
      <c r="P50" s="115"/>
      <c r="Q50" s="115"/>
      <c r="R50" s="87"/>
      <c r="S50" s="234"/>
      <c r="T50" s="240"/>
      <c r="U50" s="87"/>
      <c r="V50" s="234"/>
      <c r="W50" s="115"/>
      <c r="X50" s="115"/>
      <c r="Y50" s="115"/>
      <c r="Z50" s="115"/>
      <c r="AA50" s="241"/>
      <c r="AB50" s="234"/>
      <c r="AC50" s="240"/>
      <c r="AD50" s="87"/>
      <c r="AE50" s="234"/>
      <c r="AF50" s="115"/>
      <c r="AG50" s="115"/>
      <c r="AH50" s="115"/>
      <c r="AI50" s="115"/>
      <c r="AJ50" s="87"/>
      <c r="AK50" s="234"/>
      <c r="AL50" s="240"/>
      <c r="AM50" s="87"/>
      <c r="AN50" s="234"/>
      <c r="AO50" s="115"/>
      <c r="AP50" s="115"/>
      <c r="AQ50" s="115"/>
      <c r="AR50" s="115"/>
      <c r="AS50" s="87"/>
      <c r="AT50" s="234"/>
      <c r="AU50" s="240"/>
      <c r="AV50" s="87"/>
      <c r="AW50" s="234"/>
      <c r="AX50" s="115"/>
      <c r="AY50" s="115"/>
      <c r="AZ50" s="115"/>
      <c r="BA50" s="115"/>
      <c r="BB50" s="87"/>
      <c r="BC50" s="234"/>
      <c r="BD50" s="240"/>
      <c r="BE50" s="87"/>
      <c r="BF50" s="234"/>
      <c r="BG50" s="115"/>
      <c r="BH50" s="115"/>
      <c r="BI50" s="115"/>
      <c r="BJ50" s="115"/>
      <c r="BK50" s="87"/>
      <c r="BL50" s="234"/>
    </row>
    <row r="51" ht="3.75" customHeight="1">
      <c r="A51" s="254"/>
      <c r="B51" s="258" t="s">
        <v>727</v>
      </c>
      <c r="C51" s="259"/>
      <c r="D51" s="259"/>
      <c r="E51" s="259"/>
      <c r="F51" s="259"/>
      <c r="G51" s="259"/>
      <c r="H51" s="259"/>
      <c r="I51" s="259"/>
      <c r="J51" s="260"/>
      <c r="K51" s="259"/>
      <c r="L51" s="259"/>
      <c r="M51" s="259"/>
      <c r="N51" s="259"/>
      <c r="O51" s="259"/>
      <c r="P51" s="259"/>
      <c r="Q51" s="259"/>
      <c r="R51" s="259"/>
      <c r="S51" s="259"/>
      <c r="T51" s="261"/>
      <c r="U51" s="259"/>
      <c r="V51" s="259"/>
      <c r="W51" s="259"/>
      <c r="X51" s="259"/>
      <c r="Y51" s="259"/>
      <c r="Z51" s="259"/>
      <c r="AA51" s="262"/>
      <c r="AB51" s="259"/>
      <c r="AC51" s="259"/>
      <c r="AD51" s="259"/>
      <c r="AE51" s="259"/>
      <c r="AF51" s="259"/>
      <c r="AG51" s="259"/>
      <c r="AH51" s="259"/>
      <c r="AI51" s="259"/>
      <c r="AJ51" s="259"/>
      <c r="AK51" s="259"/>
      <c r="AL51" s="263"/>
      <c r="AM51" s="259"/>
      <c r="AN51" s="259"/>
      <c r="AO51" s="259"/>
      <c r="AP51" s="259"/>
      <c r="AQ51" s="259"/>
      <c r="AR51" s="259"/>
      <c r="AS51" s="259"/>
      <c r="AT51" s="259"/>
      <c r="AU51" s="263"/>
      <c r="AV51" s="259"/>
      <c r="AW51" s="259"/>
      <c r="AX51" s="259"/>
      <c r="AY51" s="259"/>
      <c r="AZ51" s="259"/>
      <c r="BA51" s="259"/>
      <c r="BB51" s="259"/>
      <c r="BC51" s="259"/>
      <c r="BD51" s="263"/>
      <c r="BE51" s="259"/>
      <c r="BF51" s="259"/>
      <c r="BG51" s="259"/>
      <c r="BH51" s="259"/>
      <c r="BI51" s="259"/>
      <c r="BJ51" s="259"/>
      <c r="BK51" s="259"/>
      <c r="BL51" s="259"/>
    </row>
  </sheetData>
  <mergeCells count="14">
    <mergeCell ref="A4:A10"/>
    <mergeCell ref="A12:A17"/>
    <mergeCell ref="A19:A24"/>
    <mergeCell ref="A26:A30"/>
    <mergeCell ref="A32:A37"/>
    <mergeCell ref="A39:A44"/>
    <mergeCell ref="A46:A50"/>
    <mergeCell ref="B2:J2"/>
    <mergeCell ref="K2:S2"/>
    <mergeCell ref="T2:AB2"/>
    <mergeCell ref="AC2:AK2"/>
    <mergeCell ref="AL2:AT2"/>
    <mergeCell ref="AU2:BC2"/>
    <mergeCell ref="BD2:BL2"/>
  </mergeCells>
  <conditionalFormatting sqref="B4:B10 K4:K10 T4:T10 AC4:AC10 AL4:AL10 AU4:AU10 BD4:BD10 B12:B17 K12:K17 T12:T17 AC12:AC17 AL12:AL17 AU12:AU17 BD12:BD17 B19:B24 K19:K24 T19:T24 AC19:AC24 AL19:AL24 AU19:AU24 BD19:BD24 B26:B30 K26:K30 T26:T30 AC26:AC30 AL26:AL30 AU26:AU30 BD26:BD30 B32:B37 K32:K37 T32:T37 AC32:AC37 AL32:AL37 AU32:AU37 BD32:BD37 B39:B44 K39:K44 T39:T44 AC39:AC44 AL39:AL44 AU39:AU44 BD39:BD44 B46:B51 K46:K50 T46:T50 AC46:AC50 AL46:AL50 AU46:AU50 BD46:BD50">
    <cfRule type="cellIs" dxfId="2" priority="1" operator="equal">
      <formula>0</formula>
    </cfRule>
  </conditionalFormatting>
  <conditionalFormatting sqref="B4:B10 K4:K10 T4:T10 AC4:AC10 AL4:AL10 AU4:AU10 BD4:BD10 B12:B17 K12:K17 T12:T17 AC12:AC17 AL12:AL17 AU12:AU17 BD12:BD17 B19:B24 K19:K24 T19:T24 AC19:AC24 AL19:AL24 AU19:AU24 BD19:BD24 B26:B30 K26:K30 T26:T30 AC26:AC30 AL26:AL30 AU26:AU30 BD26:BD30 B32:B37 K32:K37 T32:T37 AC32:AC37 AL32:AL37 AU32:AU37 BD32:BD37 B39:B44 K39:K44 T39:T44 AC39:AC44 AL39:AL44 AU39:AU44 BD39:BD44 B46:B51 K46:K50 T46:T50 AC46:AC50 AL46:AL50 AU46:AU50 BD46:BD50">
    <cfRule type="cellIs" dxfId="3" priority="2" operator="equal">
      <formula>1</formula>
    </cfRule>
  </conditionalFormatting>
  <conditionalFormatting sqref="B4:B10 K4:K10 T4:T10 AC4:AC10 AL4:AL10 AU4:AU10 BD4:BD10 B12:B17 K12:K17 T12:T17 AC12:AC17 AL12:AL17 AU12:AU17 BD12:BD17 B19:B24 K19:K24 T19:T24 AC19:AC24 AL19:AL24 AU19:AU24 BD19:BD24 B26:B30 K26:K30 T26:T30 AC26:AC30 AL26:AL30 AU26:AU30 BD26:BD30 B32:B37 K32:K37 T32:T37 AC32:AC37 AL32:AL37 AU32:AU37 BD32:BD37 B39:B44 K39:K44 T39:T44 AC39:AC44 AL39:AL44 AU39:AU44 BD39:BD44 B46:B51 K46:K50 T46:T50 AC46:AC50 AL46:AL50 AU46:AU50 BD46:BD50">
    <cfRule type="cellIs" dxfId="4" priority="3" operator="equal">
      <formula>2</formula>
    </cfRule>
  </conditionalFormatting>
  <conditionalFormatting sqref="B4:B10 K4:K10 T4:T10 AC4:AC10 AL4:AL10 AU4:AU10 BD4:BD10 B12:B17 K12:K17 T12:T17 AC12:AC17 AL12:AL17 AU12:AU17 BD12:BD17 B19:B24 K19:K24 T19:T24 AC19:AC24 AL19:AL24 AU19:AU24 BD19:BD24 B26:B30 K26:K30 T26:T30 AC26:AC30 AL26:AL30 AU26:AU30 BD26:BD30 B32:B37 K32:K37 T32:T37 AC32:AC37 AL32:AL37 AU32:AU37 BD32:BD37 B39:B44 K39:K44 T39:T44 AC39:AC44 AL39:AL44 AU39:AU44 BD39:BD44 B46:B51 K46:K50 T46:T50 AC46:AC50 AL46:AL50 AU46:AU50 BD46:BD50">
    <cfRule type="cellIs" dxfId="5" priority="4" operator="equal">
      <formula>3</formula>
    </cfRule>
  </conditionalFormatting>
  <conditionalFormatting sqref="B4:B10 K4:K10 T4:T10 AC4:AC10 AL4:AL10 AU4:AU10 BD4:BD10 B12:B17 K12:K17 T12:T17 AC12:AC17 AL12:AL17 AU12:AU17 BD12:BD17 B19:B24 K19:K24 T19:T24 AC19:AC24 AL19:AL24 AU19:AU24 BD19:BD24 B26:B30 K26:K30 T26:T30 AC26:AC30 AL26:AL30 AU26:AU30 BD26:BD30 B32:B37 K32:K37 T32:T37 AC32:AC37 AL32:AL37 AU32:AU37 BD32:BD37 B39:B44 K39:K44 T39:T44 AC39:AC44 AL39:AL44 AU39:AU44 BD39:BD44 B46:B51 K46:K50 T46:T50 AC46:AC50 AL46:AL50 AU46:AU50 BD46:BD50">
    <cfRule type="cellIs" dxfId="6" priority="5" operator="equal">
      <formula>4</formula>
    </cfRule>
  </conditionalFormatting>
  <conditionalFormatting sqref="E4:H10 N4:Q10 W4:Z10 AF4:AI10 AO4:AR10 AX4:BA10 BG4:BJ10 E12:H17 N12:Q17 W12:Z17 AF12:AI17 AO12:AR17 AX12:BA17 BG12:BJ17 E19:H24 N19:Q24 W19:Z24 AF19:AI24 AO19:AR24 AX19:BA24 BG19:BJ24 E26:H30 N26:Q30 W26:Z30 AF26:AI30 AO26:AR30 AX26:BA30 BG26:BJ30 E32:H37 N32:Q37 W32:Z37 AF32:AI37 AO32:AR37 AX32:BA37 BG32:BJ37 E39:H44 N39:Q44 W39:Z44 AF39:AI44 AO39:AR44 AX39:BA44 BG39:BJ44 E46:H50 N46:Q50 W46:Z50 AF46:AI50 AO46:AR50 AX46:BA50 BG46:BJ50">
    <cfRule type="cellIs" dxfId="8" priority="6" operator="equal">
      <formula>"TRUE"</formula>
    </cfRule>
  </conditionalFormatting>
  <conditionalFormatting sqref="E4:H10 N4:Q10 W4:Z10 AF4:AI10 AO4:AR10 AX4:BA10 BG4:BJ10 E12:H17 N12:Q17 W12:Z17 AF12:AI17 AO12:AR17 AX12:BA17 BG12:BJ17 E19:H24 N19:Q24 W19:Z24 AF19:AI24 AO19:AR24 AX19:BA24 BG19:BJ24 E26:H30 N26:Q30 W26:Z30 AF26:AI30 AO26:AR30 AX26:BA30 BG26:BJ30 E32:H37 N32:Q37 W32:Z37 AF32:AI37 AO32:AR37 AX32:BA37 BG32:BJ37 E39:H44 N39:Q44 W39:Z44 AF39:AI44 AO39:AR44 AX39:BA44 BG39:BJ44 E46:H50 N46:Q50 W46:Z50 AF46:AI50 AO46:AR50 AX46:BA50 BG46:BJ50">
    <cfRule type="cellIs" dxfId="9" priority="7" operator="equal">
      <formula>"FALSE"</formula>
    </cfRule>
  </conditionalFormatting>
  <conditionalFormatting sqref="E4:H10 N4:Q10 W4:Z10 AF4:AI10 AO4:AR10 AX4:BA10 BG4:BJ10 E12:H17 N12:Q17 W12:Z17 AF12:AI17 AO12:AR17 AX12:BA17 BG12:BJ17 E19:H24 N19:Q24 W19:Z24 AF19:AI24 AO19:AR24 AX19:BA24 BG19:BJ24 E26:H30 N26:Q30 W26:Z30 AF26:AI30 AO26:AR30 AX26:BA30 BG26:BJ30 E32:H37 N32:Q37 W32:Z37 AF32:AI37 AO32:AR37 AX32:BA37 BG32:BJ37 E39:H44 N39:Q44 W39:Z44 AF39:AI44 AO39:AR44 AX39:BA44 BG39:BJ44 E46:H50 N46:Q50 W46:Z50 AF46:AI50 AO46:AR50 AX46:BA50 BG46:BJ50">
    <cfRule type="containsBlanks" dxfId="10" priority="8">
      <formula>LEN(TRIM(E4))=0</formula>
    </cfRule>
  </conditionalFormatting>
  <conditionalFormatting sqref="B4:B10 K4:K10 T4:T10 AC4:AC10 AL4:AL10 AU4:AU10 BD4:BD10 B12:B17 K12:K17 T12:T17 AC12:AC17 AL12:AL17 AU12:AU17 BD12:BD17 B19:B24 K19:K24 T19:T24 AC19:AC24 AL19:AL24 AU19:AU24 BD19:BD24 B26:B30 K26:K30 T26:T30 AC26:AC30 AL26:AL30 AU26:AU30 BD26:BD30 B32:B37 K32:K37 T32:T37 AC32:AC37 AL32:AL37 AU32:AU37 BD32:BD37 B39:B44 K39:K44 T39:T44 AC39:AC44 AL39:AL44 AU39:AU44 BD39:BD44 B46:B51 K46:K50 T46:T50 AC46:AC50 AL46:AL50 AU46:AU50 BD46:BD50">
    <cfRule type="containsBlanks" dxfId="10" priority="9">
      <formula>LEN(TRIM(B4))=0</formula>
    </cfRule>
  </conditionalFormatting>
  <conditionalFormatting sqref="B4:B10 K4:K10 T4:T10 AC4:AC10 AL4:AL10 AU4:AU10 BD4:BD10 B12:B17 K12:K17 T12:T17 AC12:AC17 AL12:AL17 AU12:AU17 BD12:BD17 B19:B24 K19:K24 T19:T24 AC19:AC24 AL19:AL24 AU19:AU24 BD19:BD24 B26:B30 K26:K30 T26:T30 AC26:AC30 AL26:AL30 AU26:AU30 BD26:BD30 B32:B37 K32:K37 T32:T37 AC32:AC37 AL32:AL37 AU32:AU37 BD32:BD37 B39:B44 K39:K44 T39:T44 AC39:AC44 AL39:AL44 AU39:AU44 BD39:BD44 B46:B51 K46:K50 T46:T50 AC46:AC50 AL46:AL50 AU46:AU50 BD46:BD50">
    <cfRule type="cellIs" dxfId="11" priority="10" operator="equal">
      <formula>"m"</formula>
    </cfRule>
  </conditionalFormatting>
  <drawing r:id="rId2"/>
  <legacyDrawing r:id="rId3"/>
</worksheet>
</file>