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que_flores/Desktop/"/>
    </mc:Choice>
  </mc:AlternateContent>
  <xr:revisionPtr revIDLastSave="0" documentId="8_{91AFC35B-B836-D442-BB79-8FE8CA336813}" xr6:coauthVersionLast="36" xr6:coauthVersionMax="36" xr10:uidLastSave="{00000000-0000-0000-0000-000000000000}"/>
  <bookViews>
    <workbookView xWindow="26380" yWindow="500" windowWidth="31980" windowHeight="26480" activeTab="4" xr2:uid="{00000000-000D-0000-FFFF-FFFF00000000}"/>
  </bookViews>
  <sheets>
    <sheet name="Pre-K-2" sheetId="6" r:id="rId1"/>
    <sheet name="3-5" sheetId="1" r:id="rId2"/>
    <sheet name="6-8" sheetId="9" r:id="rId3"/>
    <sheet name="9-11" sheetId="10" r:id="rId4"/>
    <sheet name="Senior-Grad." sheetId="8" r:id="rId5"/>
  </sheets>
  <definedNames>
    <definedName name="_xlnm.Print_Area" localSheetId="1">'3-5'!$A$1:$K$60</definedName>
    <definedName name="_xlnm.Print_Area" localSheetId="2">'6-8'!$A$1:$K$60</definedName>
    <definedName name="_xlnm.Print_Area" localSheetId="3">'9-11'!$A$1:$K$60</definedName>
    <definedName name="_xlnm.Print_Area" localSheetId="4">'Senior-Grad.'!$A$1:$M$90</definedName>
  </definedNames>
  <calcPr calcId="181029"/>
</workbook>
</file>

<file path=xl/calcChain.xml><?xml version="1.0" encoding="utf-8"?>
<calcChain xmlns="http://schemas.openxmlformats.org/spreadsheetml/2006/main">
  <c r="G52" i="8" l="1"/>
  <c r="F52" i="8"/>
  <c r="E46" i="10" l="1"/>
  <c r="D46" i="10"/>
  <c r="E49" i="10"/>
  <c r="D49" i="10"/>
  <c r="E45" i="10"/>
  <c r="D45" i="10"/>
  <c r="G48" i="10"/>
  <c r="F48" i="10"/>
  <c r="G52" i="10"/>
  <c r="F52" i="10"/>
  <c r="G51" i="10"/>
  <c r="G50" i="10"/>
  <c r="G46" i="10"/>
  <c r="F46" i="10"/>
  <c r="F49" i="10"/>
  <c r="G49" i="10"/>
  <c r="G45" i="10"/>
  <c r="F45" i="10"/>
  <c r="I48" i="10"/>
  <c r="H48" i="10"/>
  <c r="I52" i="10"/>
  <c r="H52" i="10"/>
  <c r="I46" i="10"/>
  <c r="I50" i="10"/>
  <c r="I49" i="10"/>
  <c r="H49" i="10"/>
  <c r="I45" i="10"/>
  <c r="H45" i="10"/>
  <c r="K52" i="10"/>
  <c r="J48" i="10"/>
  <c r="K48" i="10"/>
  <c r="K50" i="10"/>
  <c r="J49" i="10"/>
  <c r="K49" i="10"/>
  <c r="J45" i="10"/>
  <c r="K45" i="10"/>
  <c r="B48" i="9"/>
  <c r="B52" i="9"/>
  <c r="B49" i="9"/>
  <c r="B45" i="9"/>
  <c r="J11" i="9"/>
  <c r="J7" i="9"/>
  <c r="J12" i="9"/>
  <c r="J8" i="9"/>
  <c r="J14" i="9"/>
  <c r="J10" i="9"/>
  <c r="D10" i="9"/>
  <c r="D14" i="9"/>
  <c r="D13" i="9"/>
  <c r="D12" i="9"/>
  <c r="D8" i="9"/>
  <c r="D11" i="9"/>
  <c r="D7" i="9"/>
  <c r="B11" i="9"/>
  <c r="D30" i="9"/>
  <c r="D26" i="9"/>
  <c r="B7" i="9"/>
  <c r="D27" i="9"/>
  <c r="B8" i="9"/>
  <c r="B12" i="9"/>
  <c r="D31" i="9"/>
  <c r="D29" i="9"/>
  <c r="B10" i="9"/>
  <c r="B14" i="9"/>
  <c r="D33" i="9"/>
  <c r="D48" i="9"/>
  <c r="B29" i="9"/>
  <c r="B33" i="9"/>
  <c r="D52" i="9"/>
  <c r="B32" i="9"/>
  <c r="B31" i="9"/>
  <c r="B30" i="9"/>
  <c r="B27" i="9"/>
  <c r="B26" i="9"/>
  <c r="D50" i="9"/>
  <c r="D49" i="9"/>
  <c r="D45" i="9"/>
  <c r="H51" i="9"/>
  <c r="H48" i="9"/>
  <c r="H49" i="9"/>
  <c r="H45" i="9"/>
  <c r="H11" i="9"/>
  <c r="J30" i="9"/>
  <c r="J26" i="9"/>
  <c r="H7" i="9"/>
  <c r="H8" i="9"/>
  <c r="J31" i="9"/>
  <c r="H9" i="9"/>
  <c r="H13" i="9"/>
  <c r="H14" i="9"/>
  <c r="J33" i="9"/>
  <c r="H10" i="9"/>
  <c r="J29" i="9"/>
  <c r="J48" i="9"/>
  <c r="H29" i="9"/>
  <c r="H33" i="9"/>
  <c r="J52" i="9"/>
  <c r="H31" i="9"/>
  <c r="H30" i="9"/>
  <c r="J49" i="9"/>
  <c r="H26" i="9"/>
  <c r="J45" i="9"/>
  <c r="C52" i="9"/>
  <c r="C48" i="9"/>
  <c r="C51" i="9"/>
  <c r="C47" i="9"/>
  <c r="C50" i="9"/>
  <c r="C46" i="9"/>
  <c r="C49" i="9"/>
  <c r="C45" i="9"/>
  <c r="E52" i="9"/>
  <c r="E48" i="9"/>
  <c r="E47" i="9"/>
  <c r="E51" i="9"/>
  <c r="E50" i="9"/>
  <c r="E46" i="9"/>
  <c r="E49" i="9"/>
  <c r="E45" i="9"/>
  <c r="K10" i="9"/>
  <c r="K14" i="9"/>
  <c r="K13" i="9"/>
  <c r="K9" i="9"/>
  <c r="K12" i="9"/>
  <c r="K8" i="9"/>
  <c r="K11" i="9"/>
  <c r="K7" i="9"/>
  <c r="C33" i="9"/>
  <c r="C29" i="9"/>
  <c r="C32" i="9"/>
  <c r="C28" i="9"/>
  <c r="C31" i="9"/>
  <c r="C27" i="9"/>
  <c r="C30" i="9"/>
  <c r="C26" i="9"/>
  <c r="C11" i="9"/>
  <c r="E30" i="9"/>
  <c r="C7" i="9"/>
  <c r="E26" i="9"/>
  <c r="C12" i="9"/>
  <c r="E31" i="9"/>
  <c r="C8" i="9"/>
  <c r="E27" i="9"/>
  <c r="C13" i="9"/>
  <c r="E32" i="9"/>
  <c r="E28" i="9"/>
  <c r="C9" i="9"/>
  <c r="E33" i="9"/>
  <c r="C14" i="9"/>
  <c r="C10" i="9"/>
  <c r="E29" i="9"/>
  <c r="K29" i="9"/>
  <c r="I10" i="9"/>
  <c r="I14" i="9"/>
  <c r="K33" i="9"/>
  <c r="K28" i="9"/>
  <c r="I9" i="9"/>
  <c r="I13" i="9"/>
  <c r="K32" i="9"/>
  <c r="I12" i="9"/>
  <c r="K31" i="9"/>
  <c r="I8" i="9"/>
  <c r="K27" i="9"/>
  <c r="K30" i="9"/>
  <c r="I11" i="9"/>
  <c r="I7" i="9"/>
  <c r="K26" i="9"/>
  <c r="E11" i="9" l="1"/>
  <c r="G49" i="9"/>
  <c r="G45" i="9"/>
  <c r="E7" i="9"/>
  <c r="E12" i="9"/>
  <c r="G50" i="9"/>
  <c r="G46" i="9"/>
  <c r="E8" i="9"/>
  <c r="E13" i="9"/>
  <c r="G51" i="9"/>
  <c r="E9" i="9"/>
  <c r="E14" i="9"/>
  <c r="E10" i="9"/>
  <c r="G47" i="9"/>
  <c r="G52" i="9"/>
  <c r="G48" i="9"/>
  <c r="I52" i="9"/>
  <c r="G33" i="9"/>
  <c r="I48" i="9"/>
  <c r="G29" i="9"/>
  <c r="I51" i="9"/>
  <c r="G32" i="9"/>
  <c r="G28" i="9"/>
  <c r="I47" i="9"/>
  <c r="I46" i="9"/>
  <c r="G27" i="9"/>
  <c r="G31" i="9"/>
  <c r="I50" i="9"/>
  <c r="G30" i="9"/>
  <c r="I49" i="9"/>
  <c r="G26" i="9"/>
  <c r="I45" i="9"/>
  <c r="K48" i="9"/>
  <c r="I29" i="9"/>
  <c r="G10" i="9"/>
  <c r="G14" i="9"/>
  <c r="I33" i="9"/>
  <c r="K52" i="9"/>
  <c r="K51" i="9"/>
  <c r="I32" i="9"/>
  <c r="G13" i="9"/>
  <c r="G9" i="9"/>
  <c r="I28" i="9"/>
  <c r="K47" i="9"/>
  <c r="G12" i="9"/>
  <c r="I31" i="9"/>
  <c r="K50" i="9"/>
  <c r="G8" i="9"/>
  <c r="I27" i="9"/>
  <c r="K46" i="9"/>
  <c r="K49" i="9"/>
  <c r="I30" i="9"/>
  <c r="G11" i="9"/>
  <c r="G7" i="9"/>
  <c r="I26" i="9"/>
  <c r="K45" i="9"/>
  <c r="I55" i="1"/>
  <c r="E55" i="1"/>
  <c r="B49" i="1"/>
  <c r="B45" i="1"/>
  <c r="B46" i="1"/>
  <c r="B50" i="1"/>
  <c r="B52" i="1"/>
  <c r="B48" i="1"/>
  <c r="B47" i="1"/>
  <c r="B51" i="1"/>
  <c r="H13" i="1"/>
  <c r="H9" i="1"/>
  <c r="H14" i="1"/>
  <c r="H10" i="1"/>
  <c r="H12" i="1"/>
  <c r="H8" i="1"/>
  <c r="H11" i="1"/>
  <c r="H7" i="1"/>
  <c r="D11" i="1"/>
  <c r="D7" i="1"/>
  <c r="D13" i="1"/>
  <c r="D9" i="1"/>
  <c r="D12" i="1"/>
  <c r="D8" i="1"/>
  <c r="D14" i="1"/>
  <c r="D10" i="1"/>
  <c r="B14" i="1"/>
  <c r="D33" i="1"/>
  <c r="D29" i="1"/>
  <c r="B10" i="1"/>
  <c r="B13" i="1"/>
  <c r="D32" i="1"/>
  <c r="B9" i="1"/>
  <c r="D28" i="1"/>
  <c r="B8" i="1"/>
  <c r="D27" i="1"/>
  <c r="D30" i="1"/>
  <c r="B11" i="1"/>
  <c r="B7" i="1"/>
  <c r="D26" i="1"/>
  <c r="B33" i="1"/>
  <c r="D52" i="1"/>
  <c r="B29" i="1"/>
  <c r="D48" i="1"/>
  <c r="B32" i="1"/>
  <c r="B28" i="1"/>
  <c r="D47" i="1"/>
  <c r="B31" i="1"/>
  <c r="D50" i="1"/>
  <c r="B27" i="1"/>
  <c r="D46" i="1"/>
  <c r="B30" i="1"/>
  <c r="D49" i="1"/>
  <c r="B26" i="1"/>
  <c r="D45" i="1"/>
  <c r="H52" i="1"/>
  <c r="H48" i="1"/>
  <c r="H51" i="1"/>
  <c r="H47" i="1"/>
  <c r="H50" i="1"/>
  <c r="H46" i="1"/>
  <c r="H49" i="1"/>
  <c r="H45" i="1"/>
  <c r="H33" i="1"/>
  <c r="J52" i="1"/>
  <c r="H29" i="1"/>
  <c r="J48" i="1"/>
  <c r="J51" i="1"/>
  <c r="H32" i="1"/>
  <c r="H28" i="1"/>
  <c r="J47" i="1"/>
  <c r="J50" i="1"/>
  <c r="H27" i="1"/>
  <c r="H30" i="1"/>
  <c r="J49" i="1"/>
  <c r="H26" i="1"/>
  <c r="J45" i="1"/>
  <c r="E14" i="1"/>
  <c r="E10" i="1"/>
  <c r="E13" i="1"/>
  <c r="E9" i="1"/>
  <c r="E12" i="1"/>
  <c r="E8" i="1"/>
  <c r="G50" i="1"/>
  <c r="G46" i="1"/>
  <c r="G48" i="1"/>
  <c r="G52" i="1"/>
  <c r="G51" i="1"/>
  <c r="G47" i="1"/>
  <c r="C32" i="1"/>
  <c r="E51" i="1"/>
  <c r="C28" i="1"/>
  <c r="E47" i="1"/>
  <c r="C33" i="1"/>
  <c r="E52" i="1"/>
  <c r="E48" i="1"/>
  <c r="C29" i="1"/>
  <c r="E50" i="1"/>
  <c r="C31" i="1"/>
  <c r="C27" i="1"/>
  <c r="E46" i="1"/>
  <c r="C30" i="1"/>
  <c r="E49" i="1"/>
  <c r="C26" i="1"/>
  <c r="E45" i="1"/>
  <c r="E32" i="1"/>
  <c r="C13" i="1"/>
  <c r="E28" i="1"/>
  <c r="C9" i="1"/>
  <c r="E33" i="1"/>
  <c r="C14" i="1"/>
  <c r="E29" i="1"/>
  <c r="C10" i="1"/>
  <c r="E31" i="1"/>
  <c r="C12" i="1"/>
  <c r="E27" i="1"/>
  <c r="C8" i="1"/>
  <c r="E30" i="1"/>
  <c r="C11" i="1"/>
  <c r="C7" i="1"/>
  <c r="E26" i="1"/>
  <c r="G49" i="1"/>
  <c r="E11" i="1"/>
  <c r="E7" i="1"/>
  <c r="G45" i="1"/>
  <c r="I13" i="1"/>
  <c r="I9" i="1"/>
  <c r="I14" i="1"/>
  <c r="I10" i="1"/>
  <c r="I12" i="1"/>
  <c r="I8" i="1"/>
  <c r="I11" i="1"/>
  <c r="I7" i="1"/>
  <c r="I51" i="1"/>
  <c r="G32" i="1"/>
  <c r="I47" i="1"/>
  <c r="G28" i="1"/>
  <c r="G33" i="1"/>
  <c r="I52" i="1"/>
  <c r="I48" i="1"/>
  <c r="G29" i="1"/>
  <c r="I50" i="1"/>
  <c r="G31" i="1"/>
  <c r="G27" i="1"/>
  <c r="I46" i="1"/>
  <c r="G30" i="1"/>
  <c r="I49" i="1"/>
  <c r="G26" i="1"/>
  <c r="I45" i="1"/>
  <c r="I32" i="1"/>
  <c r="G13" i="1"/>
  <c r="I28" i="1"/>
  <c r="G9" i="1"/>
  <c r="K49" i="1"/>
  <c r="I30" i="1"/>
  <c r="G11" i="1"/>
  <c r="G7" i="1"/>
  <c r="I26" i="1"/>
  <c r="K45" i="1"/>
  <c r="K51" i="1"/>
  <c r="K47" i="1"/>
  <c r="G14" i="1"/>
  <c r="I33" i="1"/>
  <c r="K52" i="1"/>
  <c r="G10" i="1"/>
  <c r="I29" i="1"/>
  <c r="K48" i="1"/>
  <c r="G12" i="1"/>
  <c r="I31" i="1"/>
  <c r="K50" i="1"/>
  <c r="G8" i="1"/>
  <c r="I27" i="1"/>
  <c r="K46" i="1"/>
  <c r="K32" i="1"/>
  <c r="J32" i="1"/>
  <c r="K28" i="1"/>
  <c r="J28" i="1"/>
  <c r="K33" i="1"/>
  <c r="J33" i="1"/>
  <c r="J29" i="1"/>
  <c r="K29" i="1"/>
  <c r="K31" i="1"/>
  <c r="J31" i="1"/>
  <c r="K27" i="1"/>
  <c r="J27" i="1"/>
  <c r="K30" i="1"/>
  <c r="J30" i="1"/>
  <c r="K26" i="1"/>
  <c r="J26" i="1"/>
  <c r="J12" i="1"/>
  <c r="K12" i="1"/>
  <c r="J8" i="1"/>
  <c r="K8" i="1"/>
  <c r="J13" i="1"/>
  <c r="K13" i="1"/>
  <c r="K9" i="1"/>
  <c r="J9" i="1"/>
  <c r="K14" i="1"/>
  <c r="J14" i="1"/>
  <c r="K10" i="1"/>
  <c r="J10" i="1"/>
  <c r="K11" i="1"/>
  <c r="M52" i="8" l="1"/>
  <c r="L52" i="8"/>
  <c r="K52" i="8"/>
  <c r="J52" i="8"/>
  <c r="I52" i="8"/>
  <c r="H52" i="8"/>
  <c r="E52" i="8"/>
  <c r="D52" i="8"/>
  <c r="C52" i="8"/>
  <c r="B52" i="8"/>
  <c r="M9" i="8"/>
  <c r="L9" i="8"/>
  <c r="K9" i="8"/>
  <c r="J9" i="8"/>
  <c r="I9" i="8"/>
  <c r="H9" i="8"/>
  <c r="G9" i="8"/>
  <c r="F9" i="8"/>
  <c r="E9" i="8"/>
  <c r="D9" i="8"/>
  <c r="C9" i="8"/>
  <c r="B9" i="8"/>
</calcChain>
</file>

<file path=xl/sharedStrings.xml><?xml version="1.0" encoding="utf-8"?>
<sst xmlns="http://schemas.openxmlformats.org/spreadsheetml/2006/main" count="1517" uniqueCount="123">
  <si>
    <t>State Accountability: [Name of Assessment]</t>
  </si>
  <si>
    <t>Percentage of Students Meeting or Exceeding Proficiency</t>
  </si>
  <si>
    <t>SUBJECT</t>
  </si>
  <si>
    <t>School</t>
  </si>
  <si>
    <t>State</t>
  </si>
  <si>
    <t>English</t>
  </si>
  <si>
    <t>Mathematics</t>
  </si>
  <si>
    <t>Science</t>
  </si>
  <si>
    <t>History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</si>
  <si>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</si>
  <si>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</si>
  <si>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</si>
  <si>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</si>
  <si>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</si>
  <si>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</si>
  <si>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</si>
  <si>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</si>
  <si>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ACT (Graduating Senior Report)</t>
  </si>
  <si>
    <t>National</t>
  </si>
  <si>
    <t>Reading</t>
  </si>
  <si>
    <t>Composite</t>
  </si>
  <si>
    <t>SAT (Graduating Senior Report)</t>
  </si>
  <si>
    <t>Total</t>
  </si>
  <si>
    <t>AP Scores</t>
  </si>
  <si>
    <t>AP Equity and Access Score</t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</si>
  <si>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</si>
  <si>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</si>
  <si>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</si>
  <si>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  <family val="2"/>
      </rPr>
      <t>–5)</t>
    </r>
  </si>
  <si>
    <t>Pre-K</t>
  </si>
  <si>
    <t>Kindergarten</t>
  </si>
  <si>
    <t>GRADE 1</t>
  </si>
  <si>
    <t>GRADE 2</t>
  </si>
  <si>
    <t>District</t>
  </si>
  <si>
    <t>District Student Achievement Data</t>
  </si>
  <si>
    <t>Mean Scores for Graduating Seniors</t>
  </si>
  <si>
    <t>Graduation Rate</t>
  </si>
  <si>
    <t>Percentage of Students Graduating</t>
  </si>
  <si>
    <t>Total Graduation Rate</t>
  </si>
  <si>
    <t>SPED Graduation Rate</t>
  </si>
  <si>
    <t>ELL Graduation Rate</t>
  </si>
  <si>
    <t>Eco Dis Graduation Rate</t>
  </si>
  <si>
    <t>[ _______ ] Graduation Rate</t>
  </si>
  <si>
    <t>School Student Achievement Data</t>
  </si>
  <si>
    <t>SPED</t>
  </si>
  <si>
    <t>ELL</t>
  </si>
  <si>
    <t>Eco Dis</t>
  </si>
  <si>
    <t>GRADE  3</t>
  </si>
  <si>
    <t>2022 - 2023</t>
  </si>
  <si>
    <t>2021 - 2022</t>
  </si>
  <si>
    <t>2018 - 2019</t>
  </si>
  <si>
    <t>2017 - 2018</t>
  </si>
  <si>
    <t>2019 - 2021 (COVID19)</t>
  </si>
  <si>
    <t>2019-20 (Covid) 2020 - 2021</t>
  </si>
  <si>
    <t>N/A</t>
  </si>
  <si>
    <t>State Accountability: CAASPP</t>
  </si>
  <si>
    <t>EL</t>
  </si>
  <si>
    <t>SocioEconomic</t>
  </si>
  <si>
    <t>Unknown</t>
  </si>
  <si>
    <t>[2022 - 2023]</t>
  </si>
  <si>
    <t>2020 - 2021</t>
  </si>
  <si>
    <t>2019 - 2020</t>
  </si>
  <si>
    <t>State Accountability: [i-Ready]</t>
  </si>
  <si>
    <t>%</t>
  </si>
  <si>
    <t>AP Bio</t>
  </si>
  <si>
    <t>AP Cal</t>
  </si>
  <si>
    <t>AP Chem</t>
  </si>
  <si>
    <t>AP Comp Science Prin</t>
  </si>
  <si>
    <t>AP Art: Drawing</t>
  </si>
  <si>
    <t>AP Eng Lang &amp; Comp</t>
  </si>
  <si>
    <t>AP Eng Lit &amp; Comp</t>
  </si>
  <si>
    <t>AP European Hist</t>
  </si>
  <si>
    <t>AP French</t>
  </si>
  <si>
    <t>AP Macro</t>
  </si>
  <si>
    <t>AP Micro</t>
  </si>
  <si>
    <t>AP Psychology</t>
  </si>
  <si>
    <t>AP Research</t>
  </si>
  <si>
    <t>AP Seminar</t>
  </si>
  <si>
    <t>AP Span Lang</t>
  </si>
  <si>
    <t>AP Span Lit</t>
  </si>
  <si>
    <t>AP Statistics</t>
  </si>
  <si>
    <t>AP US Govt</t>
  </si>
  <si>
    <t>AP US History</t>
  </si>
  <si>
    <t>AP Environmental Sci</t>
  </si>
  <si>
    <t>Not Offered</t>
  </si>
  <si>
    <t>No Data for less than 10 testers</t>
  </si>
  <si>
    <t>Evidence-Based Reading and Writing-Aug2021</t>
  </si>
  <si>
    <t>Mathematics-Aug 2021</t>
  </si>
  <si>
    <t>Evidence-Based Reading and Writing-Oct2021</t>
  </si>
  <si>
    <t>Mathematics-Oct 2021</t>
  </si>
  <si>
    <t>Mathematics-Nov 2021</t>
  </si>
  <si>
    <t>Mathematics-Dec 2021</t>
  </si>
  <si>
    <t>Evidence-Based Reading and Writing-Nov 2021</t>
  </si>
  <si>
    <t>Evidence-Based Reading and Writing-Dec 2021</t>
  </si>
  <si>
    <t>Mathematics-March 2022</t>
  </si>
  <si>
    <t>Mathematics-May 2022</t>
  </si>
  <si>
    <t>Mathematics-June 2022</t>
  </si>
  <si>
    <t>Mathematics-Aug 2022</t>
  </si>
  <si>
    <t>Mathematics-Oct 2022</t>
  </si>
  <si>
    <t>Mathematics-Nov 2022</t>
  </si>
  <si>
    <t>Mathematics-Dec 2022</t>
  </si>
  <si>
    <t>Evidence-Based Reading and Writing-Mar 2022</t>
  </si>
  <si>
    <t>Evidence-Based Reading and Writing-May 2022</t>
  </si>
  <si>
    <t>Evidence-Based Reading and Writing-June 2022</t>
  </si>
  <si>
    <t>Evidence-Based Reading and Writing-Aug 2022</t>
  </si>
  <si>
    <t>Evidence-Based Reading and Writing-Oct 2022</t>
  </si>
  <si>
    <t>Evidence-Based Reading and Writing-Nov 2022</t>
  </si>
  <si>
    <t>Evidence-Based Reading and Writing-Dec 2022</t>
  </si>
  <si>
    <t>Mathematics-Mar 2023</t>
  </si>
  <si>
    <t>Mathematics-May 2023</t>
  </si>
  <si>
    <t>Mathematics-June 2023</t>
  </si>
  <si>
    <t>Mathematics-Aug 2023</t>
  </si>
  <si>
    <t>Mathematics-Oct 2023</t>
  </si>
  <si>
    <t>Mathematics-Nov 2023</t>
  </si>
  <si>
    <t>Mathematics- Dec 2023</t>
  </si>
  <si>
    <t>Evidence-Based Reading and Writing-Mar 2023</t>
  </si>
  <si>
    <t>Evidence-Based Reading and Writing-May 2023</t>
  </si>
  <si>
    <t>Evidence-Based Reading and Writing-June 2023</t>
  </si>
  <si>
    <t>Evidence-Based Reading and Writing-Aug 2023</t>
  </si>
  <si>
    <t>Evidence-Based Reading and Writing-Oct 2023</t>
  </si>
  <si>
    <t>Evidence-Based Reading and Writing-Nov 2023</t>
  </si>
  <si>
    <t>Evidence-Based Reading and Writing-Dec 2023</t>
  </si>
  <si>
    <t>11th Graders Tested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</si>
</sst>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theme="0"/>
      <name val="Arial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FFFFFF"/>
      <name val="Calibri"/>
      <family val="2"/>
    </font>
    <font>
      <sz val="11"/>
      <name val="Arial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/>
        <bgColor rgb="FF7F7F7F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rgb="FF7F7F7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rgb="FF7F7F7F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ED7D31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1"/>
    <xf numFmtId="9" fontId="23" fillId="0" borderId="0" applyFont="0" applyFill="0" applyBorder="0" applyAlignment="0" applyProtection="0"/>
  </cellStyleXfs>
  <cellXfs count="155">
    <xf numFmtId="0" fontId="0" fillId="0" borderId="0" xfId="0"/>
    <xf numFmtId="0" fontId="8" fillId="0" borderId="1" xfId="1" applyFont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10" fontId="8" fillId="0" borderId="3" xfId="1" applyNumberFormat="1" applyFont="1" applyBorder="1" applyAlignment="1">
      <alignment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9" fillId="0" borderId="1" xfId="1"/>
    <xf numFmtId="1" fontId="8" fillId="0" borderId="3" xfId="1" applyNumberFormat="1" applyFont="1" applyBorder="1" applyAlignment="1">
      <alignment vertical="center" wrapText="1"/>
    </xf>
    <xf numFmtId="1" fontId="8" fillId="0" borderId="2" xfId="1" applyNumberFormat="1" applyFont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vertical="center" wrapText="1"/>
    </xf>
    <xf numFmtId="0" fontId="7" fillId="6" borderId="12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1" fontId="8" fillId="0" borderId="13" xfId="1" applyNumberFormat="1" applyFont="1" applyBorder="1" applyAlignment="1">
      <alignment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vertical="center" wrapText="1"/>
    </xf>
    <xf numFmtId="0" fontId="5" fillId="2" borderId="17" xfId="1" applyFont="1" applyFill="1" applyBorder="1" applyAlignment="1">
      <alignment vertical="center" wrapText="1"/>
    </xf>
    <xf numFmtId="0" fontId="5" fillId="2" borderId="18" xfId="1" applyFont="1" applyFill="1" applyBorder="1" applyAlignment="1">
      <alignment vertical="center" wrapText="1"/>
    </xf>
    <xf numFmtId="0" fontId="1" fillId="2" borderId="19" xfId="1" applyFont="1" applyFill="1" applyBorder="1" applyAlignment="1">
      <alignment horizontal="center" vertical="center" wrapText="1"/>
    </xf>
    <xf numFmtId="10" fontId="8" fillId="0" borderId="13" xfId="1" applyNumberFormat="1" applyFont="1" applyBorder="1" applyAlignment="1">
      <alignment vertical="center" wrapText="1"/>
    </xf>
    <xf numFmtId="0" fontId="10" fillId="9" borderId="6" xfId="0" applyFont="1" applyFill="1" applyBorder="1" applyAlignment="1">
      <alignment vertical="center"/>
    </xf>
    <xf numFmtId="0" fontId="6" fillId="6" borderId="22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right" vertical="center" wrapText="1"/>
    </xf>
    <xf numFmtId="0" fontId="12" fillId="6" borderId="25" xfId="0" applyFont="1" applyFill="1" applyBorder="1" applyAlignment="1">
      <alignment horizontal="right" vertical="center" wrapText="1"/>
    </xf>
    <xf numFmtId="0" fontId="12" fillId="6" borderId="26" xfId="0" applyFont="1" applyFill="1" applyBorder="1" applyAlignment="1">
      <alignment horizontal="right" vertical="center" wrapText="1"/>
    </xf>
    <xf numFmtId="0" fontId="5" fillId="11" borderId="10" xfId="1" applyFont="1" applyFill="1" applyBorder="1" applyAlignment="1">
      <alignment vertical="center" wrapText="1"/>
    </xf>
    <xf numFmtId="0" fontId="5" fillId="13" borderId="10" xfId="1" applyFont="1" applyFill="1" applyBorder="1" applyAlignment="1">
      <alignment vertical="center" wrapText="1"/>
    </xf>
    <xf numFmtId="0" fontId="5" fillId="15" borderId="10" xfId="1" applyFont="1" applyFill="1" applyBorder="1" applyAlignment="1">
      <alignment vertical="center" wrapText="1"/>
    </xf>
    <xf numFmtId="0" fontId="10" fillId="17" borderId="20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10" fontId="8" fillId="0" borderId="5" xfId="0" applyNumberFormat="1" applyFont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vertical="center"/>
    </xf>
    <xf numFmtId="0" fontId="5" fillId="8" borderId="25" xfId="0" applyFont="1" applyFill="1" applyBorder="1" applyAlignment="1">
      <alignment vertical="center"/>
    </xf>
    <xf numFmtId="0" fontId="7" fillId="6" borderId="26" xfId="0" applyFont="1" applyFill="1" applyBorder="1" applyAlignment="1">
      <alignment horizontal="center" vertical="center" wrapText="1"/>
    </xf>
    <xf numFmtId="10" fontId="8" fillId="0" borderId="23" xfId="0" applyNumberFormat="1" applyFont="1" applyBorder="1" applyAlignment="1">
      <alignment vertical="center" wrapText="1"/>
    </xf>
    <xf numFmtId="0" fontId="19" fillId="5" borderId="41" xfId="0" applyFont="1" applyFill="1" applyBorder="1" applyAlignment="1">
      <alignment vertical="center" wrapText="1"/>
    </xf>
    <xf numFmtId="0" fontId="21" fillId="6" borderId="45" xfId="0" applyFont="1" applyFill="1" applyBorder="1" applyAlignment="1">
      <alignment horizontal="center" vertical="center" wrapText="1"/>
    </xf>
    <xf numFmtId="0" fontId="21" fillId="6" borderId="45" xfId="0" applyFont="1" applyFill="1" applyBorder="1" applyAlignment="1">
      <alignment horizontal="left" vertical="center" wrapText="1"/>
    </xf>
    <xf numFmtId="0" fontId="22" fillId="6" borderId="45" xfId="0" applyFont="1" applyFill="1" applyBorder="1" applyAlignment="1">
      <alignment horizontal="right" vertical="center" wrapText="1"/>
    </xf>
    <xf numFmtId="0" fontId="5" fillId="18" borderId="25" xfId="0" applyFont="1" applyFill="1" applyBorder="1" applyAlignment="1">
      <alignment vertical="center"/>
    </xf>
    <xf numFmtId="0" fontId="4" fillId="18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9" fontId="20" fillId="10" borderId="3" xfId="2" applyFont="1" applyFill="1" applyBorder="1" applyAlignment="1">
      <alignment horizontal="center" vertical="center" wrapText="1"/>
    </xf>
    <xf numFmtId="9" fontId="20" fillId="10" borderId="46" xfId="2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/>
    </xf>
    <xf numFmtId="9" fontId="19" fillId="0" borderId="3" xfId="2" applyFont="1" applyBorder="1" applyAlignment="1">
      <alignment horizontal="center" vertical="center" wrapText="1"/>
    </xf>
    <xf numFmtId="9" fontId="19" fillId="0" borderId="46" xfId="2" applyFont="1" applyBorder="1" applyAlignment="1">
      <alignment horizontal="center" vertical="center" wrapText="1"/>
    </xf>
    <xf numFmtId="9" fontId="8" fillId="10" borderId="3" xfId="2" applyFont="1" applyFill="1" applyBorder="1" applyAlignment="1">
      <alignment horizontal="center" vertical="center" wrapText="1"/>
    </xf>
    <xf numFmtId="9" fontId="24" fillId="0" borderId="3" xfId="2" applyFont="1" applyBorder="1" applyAlignment="1">
      <alignment horizontal="center" vertical="center" wrapText="1"/>
    </xf>
    <xf numFmtId="9" fontId="6" fillId="10" borderId="3" xfId="2" applyFont="1" applyFill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10" fontId="8" fillId="0" borderId="23" xfId="0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 wrapText="1"/>
    </xf>
    <xf numFmtId="9" fontId="11" fillId="0" borderId="3" xfId="2" applyFont="1" applyBorder="1" applyAlignment="1">
      <alignment horizontal="center" vertical="center" wrapText="1"/>
    </xf>
    <xf numFmtId="9" fontId="6" fillId="10" borderId="46" xfId="2" applyFont="1" applyFill="1" applyBorder="1" applyAlignment="1">
      <alignment horizontal="center" vertical="center" wrapText="1"/>
    </xf>
    <xf numFmtId="9" fontId="11" fillId="0" borderId="46" xfId="2" applyFont="1" applyBorder="1" applyAlignment="1">
      <alignment horizontal="center" vertical="center" wrapText="1"/>
    </xf>
    <xf numFmtId="9" fontId="8" fillId="10" borderId="46" xfId="2" applyFont="1" applyFill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 vertical="center" wrapText="1"/>
    </xf>
    <xf numFmtId="9" fontId="6" fillId="10" borderId="5" xfId="0" applyNumberFormat="1" applyFont="1" applyFill="1" applyBorder="1" applyAlignment="1">
      <alignment horizontal="center" vertical="center" wrapText="1"/>
    </xf>
    <xf numFmtId="10" fontId="6" fillId="10" borderId="5" xfId="0" applyNumberFormat="1" applyFont="1" applyFill="1" applyBorder="1" applyAlignment="1">
      <alignment horizontal="center" vertical="center" wrapText="1"/>
    </xf>
    <xf numFmtId="0" fontId="6" fillId="10" borderId="5" xfId="0" applyNumberFormat="1" applyFont="1" applyFill="1" applyBorder="1" applyAlignment="1">
      <alignment horizontal="center" vertical="center" wrapText="1"/>
    </xf>
    <xf numFmtId="0" fontId="7" fillId="6" borderId="49" xfId="1" applyFont="1" applyFill="1" applyBorder="1" applyAlignment="1">
      <alignment horizontal="center" vertical="center" wrapText="1"/>
    </xf>
    <xf numFmtId="0" fontId="8" fillId="0" borderId="50" xfId="1" applyFont="1" applyBorder="1" applyAlignment="1">
      <alignment vertical="center" wrapText="1"/>
    </xf>
    <xf numFmtId="10" fontId="8" fillId="0" borderId="50" xfId="1" applyNumberFormat="1" applyFont="1" applyBorder="1" applyAlignment="1">
      <alignment vertical="center" wrapText="1"/>
    </xf>
    <xf numFmtId="0" fontId="8" fillId="0" borderId="51" xfId="1" applyFont="1" applyBorder="1" applyAlignment="1">
      <alignment vertical="center" wrapText="1"/>
    </xf>
    <xf numFmtId="10" fontId="8" fillId="0" borderId="52" xfId="1" applyNumberFormat="1" applyFont="1" applyBorder="1" applyAlignment="1">
      <alignment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vertical="center" wrapText="1"/>
    </xf>
    <xf numFmtId="10" fontId="8" fillId="0" borderId="5" xfId="1" applyNumberFormat="1" applyFont="1" applyBorder="1" applyAlignment="1">
      <alignment vertical="center" wrapText="1"/>
    </xf>
    <xf numFmtId="0" fontId="8" fillId="0" borderId="53" xfId="1" applyFont="1" applyBorder="1" applyAlignment="1">
      <alignment horizontal="right" vertical="center" wrapText="1"/>
    </xf>
    <xf numFmtId="0" fontId="0" fillId="0" borderId="47" xfId="0" applyBorder="1" applyAlignment="1">
      <alignment horizontal="righ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2" borderId="27" xfId="0" applyFont="1" applyFill="1" applyBorder="1" applyAlignment="1">
      <alignment horizontal="center" vertical="center"/>
    </xf>
    <xf numFmtId="0" fontId="2" fillId="0" borderId="28" xfId="0" applyFont="1" applyBorder="1"/>
    <xf numFmtId="0" fontId="0" fillId="0" borderId="28" xfId="0" applyBorder="1"/>
    <xf numFmtId="0" fontId="0" fillId="0" borderId="29" xfId="0" applyBorder="1"/>
    <xf numFmtId="0" fontId="3" fillId="2" borderId="25" xfId="0" applyFont="1" applyFill="1" applyBorder="1" applyAlignment="1">
      <alignment horizontal="center" vertical="center"/>
    </xf>
    <xf numFmtId="0" fontId="0" fillId="0" borderId="5" xfId="0" applyBorder="1"/>
    <xf numFmtId="0" fontId="0" fillId="0" borderId="22" xfId="0" applyBorder="1"/>
    <xf numFmtId="0" fontId="4" fillId="3" borderId="2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0" borderId="22" xfId="0" applyFont="1" applyBorder="1"/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9" fontId="4" fillId="18" borderId="5" xfId="0" applyNumberFormat="1" applyFont="1" applyFill="1" applyBorder="1" applyAlignment="1">
      <alignment horizontal="center" vertical="center"/>
    </xf>
    <xf numFmtId="9" fontId="25" fillId="17" borderId="5" xfId="0" applyNumberFormat="1" applyFont="1" applyFill="1" applyBorder="1" applyAlignment="1">
      <alignment horizontal="center"/>
    </xf>
    <xf numFmtId="9" fontId="25" fillId="17" borderId="22" xfId="0" applyNumberFormat="1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 vertical="center" wrapText="1"/>
    </xf>
    <xf numFmtId="0" fontId="16" fillId="0" borderId="31" xfId="0" applyFont="1" applyBorder="1"/>
    <xf numFmtId="0" fontId="16" fillId="0" borderId="32" xfId="0" applyFont="1" applyBorder="1"/>
    <xf numFmtId="0" fontId="3" fillId="2" borderId="33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34" xfId="0" applyFont="1" applyBorder="1"/>
    <xf numFmtId="0" fontId="18" fillId="3" borderId="35" xfId="0" applyFont="1" applyFill="1" applyBorder="1" applyAlignment="1">
      <alignment horizontal="center" vertical="center" wrapText="1"/>
    </xf>
    <xf numFmtId="0" fontId="16" fillId="0" borderId="36" xfId="0" applyFont="1" applyBorder="1"/>
    <xf numFmtId="0" fontId="16" fillId="0" borderId="37" xfId="0" applyFont="1" applyBorder="1"/>
    <xf numFmtId="0" fontId="18" fillId="4" borderId="38" xfId="0" applyFont="1" applyFill="1" applyBorder="1" applyAlignment="1">
      <alignment horizontal="center" vertical="center" wrapText="1"/>
    </xf>
    <xf numFmtId="0" fontId="16" fillId="0" borderId="39" xfId="0" applyFont="1" applyBorder="1"/>
    <xf numFmtId="0" fontId="16" fillId="0" borderId="40" xfId="0" applyFont="1" applyBorder="1"/>
    <xf numFmtId="0" fontId="20" fillId="5" borderId="42" xfId="0" applyFont="1" applyFill="1" applyBorder="1" applyAlignment="1">
      <alignment horizontal="center" vertical="center" wrapText="1"/>
    </xf>
    <xf numFmtId="0" fontId="16" fillId="0" borderId="43" xfId="0" applyFont="1" applyBorder="1"/>
    <xf numFmtId="0" fontId="21" fillId="5" borderId="42" xfId="0" applyFont="1" applyFill="1" applyBorder="1" applyAlignment="1">
      <alignment horizontal="center" vertical="center" wrapText="1"/>
    </xf>
    <xf numFmtId="0" fontId="16" fillId="0" borderId="44" xfId="0" applyFont="1" applyBorder="1"/>
    <xf numFmtId="0" fontId="18" fillId="7" borderId="38" xfId="0" applyFont="1" applyFill="1" applyBorder="1" applyAlignment="1">
      <alignment horizontal="center" vertical="center" wrapText="1"/>
    </xf>
    <xf numFmtId="0" fontId="18" fillId="8" borderId="38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8" fillId="19" borderId="53" xfId="1" applyFont="1" applyFill="1" applyBorder="1" applyAlignment="1">
      <alignment horizontal="center" vertical="center" wrapText="1"/>
    </xf>
    <xf numFmtId="0" fontId="0" fillId="19" borderId="47" xfId="0" applyFill="1" applyBorder="1" applyAlignment="1">
      <alignment horizontal="center" vertical="center" wrapText="1"/>
    </xf>
    <xf numFmtId="0" fontId="8" fillId="19" borderId="54" xfId="1" applyFont="1" applyFill="1" applyBorder="1" applyAlignment="1">
      <alignment horizontal="center" vertical="center" wrapText="1"/>
    </xf>
    <xf numFmtId="0" fontId="0" fillId="19" borderId="2" xfId="0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4" fillId="17" borderId="2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9" fillId="0" borderId="8" xfId="1" applyBorder="1"/>
    <xf numFmtId="0" fontId="9" fillId="0" borderId="9" xfId="1" applyBorder="1"/>
    <xf numFmtId="0" fontId="4" fillId="11" borderId="4" xfId="1" applyFont="1" applyFill="1" applyBorder="1" applyAlignment="1">
      <alignment horizontal="center" vertical="center" wrapText="1"/>
    </xf>
    <xf numFmtId="0" fontId="2" fillId="12" borderId="4" xfId="1" applyFont="1" applyFill="1" applyBorder="1"/>
    <xf numFmtId="0" fontId="9" fillId="12" borderId="4" xfId="1" applyFill="1" applyBorder="1"/>
    <xf numFmtId="0" fontId="9" fillId="12" borderId="11" xfId="1" applyFill="1" applyBorder="1"/>
    <xf numFmtId="0" fontId="4" fillId="13" borderId="4" xfId="1" applyFont="1" applyFill="1" applyBorder="1" applyAlignment="1">
      <alignment horizontal="center" vertical="center" wrapText="1"/>
    </xf>
    <xf numFmtId="0" fontId="2" fillId="14" borderId="4" xfId="1" applyFont="1" applyFill="1" applyBorder="1"/>
    <xf numFmtId="0" fontId="9" fillId="14" borderId="4" xfId="1" applyFill="1" applyBorder="1"/>
    <xf numFmtId="0" fontId="9" fillId="14" borderId="11" xfId="1" applyFill="1" applyBorder="1"/>
    <xf numFmtId="0" fontId="4" fillId="15" borderId="4" xfId="1" applyFont="1" applyFill="1" applyBorder="1" applyAlignment="1">
      <alignment horizontal="center" vertical="center" wrapText="1"/>
    </xf>
    <xf numFmtId="0" fontId="2" fillId="16" borderId="4" xfId="1" applyFont="1" applyFill="1" applyBorder="1"/>
    <xf numFmtId="0" fontId="9" fillId="16" borderId="4" xfId="1" applyFill="1" applyBorder="1"/>
    <xf numFmtId="0" fontId="9" fillId="16" borderId="11" xfId="1" applyFill="1" applyBorder="1"/>
    <xf numFmtId="0" fontId="8" fillId="0" borderId="3" xfId="1" applyNumberFormat="1" applyFont="1" applyBorder="1" applyAlignment="1">
      <alignment vertical="center" wrapText="1"/>
    </xf>
    <xf numFmtId="1" fontId="8" fillId="0" borderId="1" xfId="1" applyNumberFormat="1" applyFont="1" applyBorder="1" applyAlignment="1">
      <alignment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25" fillId="0" borderId="1" xfId="1" applyFont="1" applyAlignment="1">
      <alignment horizontal="center"/>
    </xf>
  </cellXfs>
  <cellStyles count="3">
    <cellStyle name="Normal" xfId="0" builtinId="0"/>
    <cellStyle name="Normal 2" xfId="1" xr:uid="{E74ACBA1-AAA1-8846-A286-5F1E8D3301B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8E69-1B22-4746-A891-0B7F01D6EB32}">
  <dimension ref="A1:N23"/>
  <sheetViews>
    <sheetView zoomScale="174" zoomScaleNormal="174" workbookViewId="0">
      <selection activeCell="J23" sqref="J23"/>
    </sheetView>
  </sheetViews>
  <sheetFormatPr baseColWidth="10" defaultColWidth="10.83203125" defaultRowHeight="15" x14ac:dyDescent="0.2"/>
  <cols>
    <col min="1" max="14" width="11.6640625" customWidth="1"/>
  </cols>
  <sheetData>
    <row r="1" spans="1:14" ht="19" x14ac:dyDescent="0.2">
      <c r="A1" s="91" t="s">
        <v>34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  <c r="N1" s="94"/>
    </row>
    <row r="2" spans="1:14" ht="16" x14ac:dyDescent="0.2">
      <c r="A2" s="95" t="s">
        <v>62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6"/>
      <c r="N2" s="97"/>
    </row>
    <row r="3" spans="1:14" x14ac:dyDescent="0.2">
      <c r="A3" s="98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6"/>
      <c r="N3" s="97"/>
    </row>
    <row r="4" spans="1:14" x14ac:dyDescent="0.2">
      <c r="A4" s="42"/>
      <c r="B4" s="37"/>
      <c r="C4" s="37"/>
      <c r="D4" s="37"/>
      <c r="E4" s="99" t="s">
        <v>29</v>
      </c>
      <c r="F4" s="90"/>
      <c r="G4" s="90"/>
      <c r="H4" s="90"/>
      <c r="I4" s="90"/>
      <c r="J4" s="90"/>
      <c r="K4" s="90"/>
      <c r="L4" s="90"/>
      <c r="M4" s="96"/>
      <c r="N4" s="97"/>
    </row>
    <row r="5" spans="1:14" x14ac:dyDescent="0.2">
      <c r="A5" s="43"/>
      <c r="B5" s="38"/>
      <c r="C5" s="38"/>
      <c r="D5" s="38"/>
      <c r="E5" s="89" t="s">
        <v>50</v>
      </c>
      <c r="F5" s="90"/>
      <c r="G5" s="89" t="s">
        <v>61</v>
      </c>
      <c r="H5" s="90"/>
      <c r="I5" s="89" t="s">
        <v>60</v>
      </c>
      <c r="J5" s="90"/>
      <c r="K5" s="89" t="s">
        <v>49</v>
      </c>
      <c r="L5" s="90"/>
      <c r="M5" s="89" t="s">
        <v>59</v>
      </c>
      <c r="N5" s="100"/>
    </row>
    <row r="6" spans="1:14" x14ac:dyDescent="0.2">
      <c r="A6" s="44" t="s">
        <v>2</v>
      </c>
      <c r="B6" s="10" t="s">
        <v>44</v>
      </c>
      <c r="C6" s="10" t="s">
        <v>56</v>
      </c>
      <c r="D6" s="10" t="s">
        <v>57</v>
      </c>
      <c r="E6" s="10" t="s">
        <v>33</v>
      </c>
      <c r="F6" s="10" t="s">
        <v>4</v>
      </c>
      <c r="G6" s="10" t="s">
        <v>33</v>
      </c>
      <c r="H6" s="10" t="s">
        <v>4</v>
      </c>
      <c r="I6" s="10" t="s">
        <v>33</v>
      </c>
      <c r="J6" s="10" t="s">
        <v>4</v>
      </c>
      <c r="K6" s="10" t="s">
        <v>33</v>
      </c>
      <c r="L6" s="10" t="s">
        <v>4</v>
      </c>
      <c r="M6" s="10" t="s">
        <v>33</v>
      </c>
      <c r="N6" s="25" t="s">
        <v>4</v>
      </c>
    </row>
    <row r="7" spans="1:14" x14ac:dyDescent="0.2">
      <c r="A7" s="44" t="s">
        <v>5</v>
      </c>
      <c r="B7" s="39"/>
      <c r="C7" s="39"/>
      <c r="D7" s="39"/>
      <c r="E7" s="67" t="s">
        <v>54</v>
      </c>
      <c r="F7" s="67" t="s">
        <v>58</v>
      </c>
      <c r="G7" s="67" t="s">
        <v>54</v>
      </c>
      <c r="H7" s="67" t="s">
        <v>58</v>
      </c>
      <c r="I7" s="67" t="s">
        <v>54</v>
      </c>
      <c r="J7" s="67" t="s">
        <v>58</v>
      </c>
      <c r="K7" s="67" t="s">
        <v>54</v>
      </c>
      <c r="L7" s="67" t="s">
        <v>58</v>
      </c>
      <c r="M7" s="67" t="s">
        <v>54</v>
      </c>
      <c r="N7" s="67" t="s">
        <v>58</v>
      </c>
    </row>
    <row r="8" spans="1:14" x14ac:dyDescent="0.2">
      <c r="A8" s="44" t="s">
        <v>6</v>
      </c>
      <c r="B8" s="39"/>
      <c r="C8" s="39"/>
      <c r="D8" s="39"/>
      <c r="E8" s="67" t="s">
        <v>54</v>
      </c>
      <c r="F8" s="67" t="s">
        <v>58</v>
      </c>
      <c r="G8" s="67" t="s">
        <v>54</v>
      </c>
      <c r="H8" s="67" t="s">
        <v>58</v>
      </c>
      <c r="I8" s="67" t="s">
        <v>54</v>
      </c>
      <c r="J8" s="67" t="s">
        <v>58</v>
      </c>
      <c r="K8" s="67" t="s">
        <v>54</v>
      </c>
      <c r="L8" s="67" t="s">
        <v>58</v>
      </c>
      <c r="M8" s="67" t="s">
        <v>54</v>
      </c>
      <c r="N8" s="67" t="s">
        <v>58</v>
      </c>
    </row>
    <row r="9" spans="1:14" x14ac:dyDescent="0.2">
      <c r="A9" s="45"/>
      <c r="B9" s="40"/>
      <c r="C9" s="40"/>
      <c r="D9" s="40"/>
      <c r="E9" s="101" t="s">
        <v>30</v>
      </c>
      <c r="F9" s="90"/>
      <c r="G9" s="90"/>
      <c r="H9" s="90"/>
      <c r="I9" s="90"/>
      <c r="J9" s="90"/>
      <c r="K9" s="90"/>
      <c r="L9" s="90"/>
      <c r="M9" s="96"/>
      <c r="N9" s="97"/>
    </row>
    <row r="10" spans="1:14" x14ac:dyDescent="0.2">
      <c r="A10" s="43"/>
      <c r="B10" s="38"/>
      <c r="C10" s="38"/>
      <c r="D10" s="38"/>
      <c r="E10" s="89" t="s">
        <v>50</v>
      </c>
      <c r="F10" s="90"/>
      <c r="G10" s="89" t="s">
        <v>61</v>
      </c>
      <c r="H10" s="90"/>
      <c r="I10" s="89" t="s">
        <v>60</v>
      </c>
      <c r="J10" s="90"/>
      <c r="K10" s="89" t="s">
        <v>49</v>
      </c>
      <c r="L10" s="90"/>
      <c r="M10" s="89" t="s">
        <v>59</v>
      </c>
      <c r="N10" s="100"/>
    </row>
    <row r="11" spans="1:14" x14ac:dyDescent="0.2">
      <c r="A11" s="44" t="s">
        <v>2</v>
      </c>
      <c r="B11" s="10"/>
      <c r="C11" s="10"/>
      <c r="D11" s="10"/>
      <c r="E11" s="55" t="s">
        <v>33</v>
      </c>
      <c r="F11" s="55" t="s">
        <v>4</v>
      </c>
      <c r="G11" s="55" t="s">
        <v>33</v>
      </c>
      <c r="H11" s="55" t="s">
        <v>4</v>
      </c>
      <c r="I11" s="55" t="s">
        <v>33</v>
      </c>
      <c r="J11" s="55" t="s">
        <v>4</v>
      </c>
      <c r="K11" s="55" t="s">
        <v>33</v>
      </c>
      <c r="L11" s="55" t="s">
        <v>4</v>
      </c>
      <c r="M11" s="55" t="s">
        <v>33</v>
      </c>
      <c r="N11" s="56" t="s">
        <v>4</v>
      </c>
    </row>
    <row r="12" spans="1:14" x14ac:dyDescent="0.2">
      <c r="A12" s="44" t="s">
        <v>5</v>
      </c>
      <c r="B12" s="39"/>
      <c r="C12" s="39"/>
      <c r="D12" s="39"/>
      <c r="E12" s="67" t="s">
        <v>54</v>
      </c>
      <c r="F12" s="67" t="s">
        <v>58</v>
      </c>
      <c r="G12" s="67" t="s">
        <v>54</v>
      </c>
      <c r="H12" s="67" t="s">
        <v>58</v>
      </c>
      <c r="I12" s="74">
        <v>0.8</v>
      </c>
      <c r="J12" s="67" t="s">
        <v>58</v>
      </c>
      <c r="K12" s="74">
        <v>0.74</v>
      </c>
      <c r="L12" s="67" t="s">
        <v>58</v>
      </c>
      <c r="M12" s="74">
        <v>0.75</v>
      </c>
      <c r="N12" s="67" t="s">
        <v>58</v>
      </c>
    </row>
    <row r="13" spans="1:14" x14ac:dyDescent="0.2">
      <c r="A13" s="44" t="s">
        <v>6</v>
      </c>
      <c r="B13" s="39"/>
      <c r="C13" s="39"/>
      <c r="D13" s="39"/>
      <c r="E13" s="67" t="s">
        <v>54</v>
      </c>
      <c r="F13" s="67" t="s">
        <v>58</v>
      </c>
      <c r="G13" s="67" t="s">
        <v>54</v>
      </c>
      <c r="H13" s="67" t="s">
        <v>58</v>
      </c>
      <c r="I13" s="74">
        <v>0.64</v>
      </c>
      <c r="J13" s="67" t="s">
        <v>58</v>
      </c>
      <c r="K13" s="74">
        <v>0.53</v>
      </c>
      <c r="L13" s="67" t="s">
        <v>58</v>
      </c>
      <c r="M13" s="74">
        <v>0.54</v>
      </c>
      <c r="N13" s="67" t="s">
        <v>58</v>
      </c>
    </row>
    <row r="14" spans="1:14" x14ac:dyDescent="0.2">
      <c r="A14" s="46"/>
      <c r="B14" s="41"/>
      <c r="C14" s="41"/>
      <c r="D14" s="41"/>
      <c r="E14" s="102" t="s">
        <v>31</v>
      </c>
      <c r="F14" s="90"/>
      <c r="G14" s="90"/>
      <c r="H14" s="90"/>
      <c r="I14" s="90"/>
      <c r="J14" s="90"/>
      <c r="K14" s="90"/>
      <c r="L14" s="90"/>
      <c r="M14" s="96"/>
      <c r="N14" s="97"/>
    </row>
    <row r="15" spans="1:14" x14ac:dyDescent="0.2">
      <c r="A15" s="43"/>
      <c r="B15" s="38"/>
      <c r="C15" s="38"/>
      <c r="D15" s="38"/>
      <c r="E15" s="89" t="s">
        <v>50</v>
      </c>
      <c r="F15" s="90"/>
      <c r="G15" s="89" t="s">
        <v>61</v>
      </c>
      <c r="H15" s="90"/>
      <c r="I15" s="89" t="s">
        <v>60</v>
      </c>
      <c r="J15" s="90"/>
      <c r="K15" s="89" t="s">
        <v>49</v>
      </c>
      <c r="L15" s="90"/>
      <c r="M15" s="89" t="s">
        <v>59</v>
      </c>
      <c r="N15" s="100"/>
    </row>
    <row r="16" spans="1:14" x14ac:dyDescent="0.2">
      <c r="A16" s="44" t="s">
        <v>2</v>
      </c>
      <c r="B16" s="10"/>
      <c r="C16" s="10"/>
      <c r="D16" s="10"/>
      <c r="E16" s="10" t="s">
        <v>33</v>
      </c>
      <c r="F16" s="10" t="s">
        <v>4</v>
      </c>
      <c r="G16" s="10" t="s">
        <v>33</v>
      </c>
      <c r="H16" s="10" t="s">
        <v>4</v>
      </c>
      <c r="I16" s="10" t="s">
        <v>33</v>
      </c>
      <c r="J16" s="10" t="s">
        <v>4</v>
      </c>
      <c r="K16" s="10" t="s">
        <v>33</v>
      </c>
      <c r="L16" s="10" t="s">
        <v>4</v>
      </c>
      <c r="M16" s="10" t="s">
        <v>33</v>
      </c>
      <c r="N16" s="25" t="s">
        <v>4</v>
      </c>
    </row>
    <row r="17" spans="1:14" x14ac:dyDescent="0.2">
      <c r="A17" s="44" t="s">
        <v>5</v>
      </c>
      <c r="B17" s="39"/>
      <c r="C17" s="39"/>
      <c r="D17" s="39"/>
      <c r="E17" s="67" t="s">
        <v>54</v>
      </c>
      <c r="F17" s="67" t="s">
        <v>58</v>
      </c>
      <c r="G17" s="67" t="s">
        <v>54</v>
      </c>
      <c r="H17" s="67" t="s">
        <v>58</v>
      </c>
      <c r="I17" s="74">
        <v>0.47</v>
      </c>
      <c r="J17" s="39" t="s">
        <v>58</v>
      </c>
      <c r="K17" s="74">
        <v>0.47</v>
      </c>
      <c r="L17" s="67" t="s">
        <v>58</v>
      </c>
      <c r="M17" s="74">
        <v>0.55000000000000004</v>
      </c>
      <c r="N17" s="67" t="s">
        <v>58</v>
      </c>
    </row>
    <row r="18" spans="1:14" x14ac:dyDescent="0.2">
      <c r="A18" s="44" t="s">
        <v>6</v>
      </c>
      <c r="B18" s="39"/>
      <c r="C18" s="39"/>
      <c r="D18" s="39"/>
      <c r="E18" s="67" t="s">
        <v>54</v>
      </c>
      <c r="F18" s="67" t="s">
        <v>58</v>
      </c>
      <c r="G18" s="67" t="s">
        <v>54</v>
      </c>
      <c r="H18" s="67" t="s">
        <v>58</v>
      </c>
      <c r="I18" s="74">
        <v>0.35</v>
      </c>
      <c r="J18" s="39" t="s">
        <v>58</v>
      </c>
      <c r="K18" s="74">
        <v>0.36</v>
      </c>
      <c r="L18" s="67" t="s">
        <v>58</v>
      </c>
      <c r="M18" s="74">
        <v>0.39</v>
      </c>
      <c r="N18" s="67" t="s">
        <v>58</v>
      </c>
    </row>
    <row r="19" spans="1:14" x14ac:dyDescent="0.2">
      <c r="A19" s="53"/>
      <c r="B19" s="54"/>
      <c r="C19" s="54"/>
      <c r="D19" s="54"/>
      <c r="E19" s="103" t="s">
        <v>32</v>
      </c>
      <c r="F19" s="103"/>
      <c r="G19" s="103"/>
      <c r="H19" s="103"/>
      <c r="I19" s="103"/>
      <c r="J19" s="103"/>
      <c r="K19" s="103"/>
      <c r="L19" s="103"/>
      <c r="M19" s="104"/>
      <c r="N19" s="105"/>
    </row>
    <row r="20" spans="1:14" x14ac:dyDescent="0.2">
      <c r="A20" s="43"/>
      <c r="B20" s="38"/>
      <c r="C20" s="38"/>
      <c r="D20" s="38"/>
      <c r="E20" s="89" t="s">
        <v>50</v>
      </c>
      <c r="F20" s="90"/>
      <c r="G20" s="89" t="s">
        <v>61</v>
      </c>
      <c r="H20" s="90"/>
      <c r="I20" s="89" t="s">
        <v>60</v>
      </c>
      <c r="J20" s="90"/>
      <c r="K20" s="89" t="s">
        <v>49</v>
      </c>
      <c r="L20" s="90"/>
      <c r="M20" s="89" t="s">
        <v>59</v>
      </c>
      <c r="N20" s="100"/>
    </row>
    <row r="21" spans="1:14" x14ac:dyDescent="0.2">
      <c r="A21" s="44" t="s">
        <v>2</v>
      </c>
      <c r="B21" s="10"/>
      <c r="C21" s="10"/>
      <c r="D21" s="10"/>
      <c r="E21" s="10" t="s">
        <v>33</v>
      </c>
      <c r="F21" s="10" t="s">
        <v>4</v>
      </c>
      <c r="G21" s="10" t="s">
        <v>33</v>
      </c>
      <c r="H21" s="10" t="s">
        <v>4</v>
      </c>
      <c r="I21" s="10" t="s">
        <v>33</v>
      </c>
      <c r="J21" s="10" t="s">
        <v>4</v>
      </c>
      <c r="K21" s="10" t="s">
        <v>33</v>
      </c>
      <c r="L21" s="10" t="s">
        <v>4</v>
      </c>
      <c r="M21" s="10" t="s">
        <v>33</v>
      </c>
      <c r="N21" s="25" t="s">
        <v>4</v>
      </c>
    </row>
    <row r="22" spans="1:14" x14ac:dyDescent="0.2">
      <c r="A22" s="44" t="s">
        <v>5</v>
      </c>
      <c r="B22" s="39"/>
      <c r="C22" s="39"/>
      <c r="D22" s="39"/>
      <c r="E22" s="67" t="s">
        <v>54</v>
      </c>
      <c r="F22" s="39" t="s">
        <v>58</v>
      </c>
      <c r="G22" s="67" t="s">
        <v>54</v>
      </c>
      <c r="H22" s="39" t="s">
        <v>58</v>
      </c>
      <c r="I22" s="74">
        <v>0.41</v>
      </c>
      <c r="J22" s="39" t="s">
        <v>58</v>
      </c>
      <c r="K22" s="74">
        <v>0.41</v>
      </c>
      <c r="L22" s="39" t="s">
        <v>58</v>
      </c>
      <c r="M22" s="74">
        <v>0.56000000000000005</v>
      </c>
      <c r="N22" s="39" t="s">
        <v>58</v>
      </c>
    </row>
    <row r="23" spans="1:14" ht="16" thickBot="1" x14ac:dyDescent="0.25">
      <c r="A23" s="47" t="s">
        <v>6</v>
      </c>
      <c r="B23" s="48"/>
      <c r="C23" s="48"/>
      <c r="D23" s="48"/>
      <c r="E23" s="68" t="s">
        <v>54</v>
      </c>
      <c r="F23" s="48" t="s">
        <v>58</v>
      </c>
      <c r="G23" s="68" t="s">
        <v>54</v>
      </c>
      <c r="H23" s="48" t="s">
        <v>58</v>
      </c>
      <c r="I23" s="75">
        <v>0.32</v>
      </c>
      <c r="J23" s="48" t="s">
        <v>58</v>
      </c>
      <c r="K23" s="75">
        <v>0.28000000000000003</v>
      </c>
      <c r="L23" s="48" t="s">
        <v>58</v>
      </c>
      <c r="M23" s="75">
        <v>0.39</v>
      </c>
      <c r="N23" s="48" t="s">
        <v>58</v>
      </c>
    </row>
  </sheetData>
  <mergeCells count="27">
    <mergeCell ref="M20:N20"/>
    <mergeCell ref="E9:N9"/>
    <mergeCell ref="E14:N14"/>
    <mergeCell ref="E19:N19"/>
    <mergeCell ref="M10:N10"/>
    <mergeCell ref="M15:N15"/>
    <mergeCell ref="E20:F20"/>
    <mergeCell ref="G20:H20"/>
    <mergeCell ref="I20:J20"/>
    <mergeCell ref="K20:L20"/>
    <mergeCell ref="E10:F10"/>
    <mergeCell ref="G10:H10"/>
    <mergeCell ref="I10:J10"/>
    <mergeCell ref="K10:L10"/>
    <mergeCell ref="E15:F15"/>
    <mergeCell ref="G15:H15"/>
    <mergeCell ref="A1:N1"/>
    <mergeCell ref="A2:N2"/>
    <mergeCell ref="A3:N3"/>
    <mergeCell ref="E4:N4"/>
    <mergeCell ref="M5:N5"/>
    <mergeCell ref="I15:J15"/>
    <mergeCell ref="K15:L15"/>
    <mergeCell ref="E5:F5"/>
    <mergeCell ref="G5:H5"/>
    <mergeCell ref="I5:J5"/>
    <mergeCell ref="K5:L5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opLeftCell="A21" zoomScale="150" zoomScaleNormal="232" workbookViewId="0">
      <selection activeCell="A8" sqref="A8:A9"/>
    </sheetView>
  </sheetViews>
  <sheetFormatPr baseColWidth="10" defaultColWidth="14.5" defaultRowHeight="15" customHeight="1" x14ac:dyDescent="0.2"/>
  <cols>
    <col min="1" max="12" width="11.6640625" customWidth="1"/>
  </cols>
  <sheetData>
    <row r="1" spans="1:11" ht="15" customHeight="1" x14ac:dyDescent="0.2">
      <c r="A1" s="106" t="s">
        <v>43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 ht="15" customHeight="1" x14ac:dyDescent="0.2">
      <c r="A2" s="109" t="s">
        <v>55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ht="15" customHeight="1" thickBot="1" x14ac:dyDescent="0.25">
      <c r="A3" s="112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15" customHeight="1" thickBot="1" x14ac:dyDescent="0.25">
      <c r="A4" s="115" t="s">
        <v>47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ht="15" customHeight="1" x14ac:dyDescent="0.2">
      <c r="A5" s="49"/>
      <c r="B5" s="118" t="s">
        <v>51</v>
      </c>
      <c r="C5" s="119"/>
      <c r="D5" s="118" t="s">
        <v>50</v>
      </c>
      <c r="E5" s="119"/>
      <c r="F5" s="118" t="s">
        <v>52</v>
      </c>
      <c r="G5" s="119"/>
      <c r="H5" s="118" t="s">
        <v>49</v>
      </c>
      <c r="I5" s="119"/>
      <c r="J5" s="120" t="s">
        <v>48</v>
      </c>
      <c r="K5" s="121"/>
    </row>
    <row r="6" spans="1:11" ht="15" customHeight="1" x14ac:dyDescent="0.2">
      <c r="A6" s="50" t="s">
        <v>2</v>
      </c>
      <c r="B6" s="55" t="s">
        <v>33</v>
      </c>
      <c r="C6" s="57" t="s">
        <v>4</v>
      </c>
      <c r="D6" s="57" t="s">
        <v>33</v>
      </c>
      <c r="E6" s="57" t="s">
        <v>4</v>
      </c>
      <c r="F6" s="57" t="s">
        <v>33</v>
      </c>
      <c r="G6" s="57" t="s">
        <v>4</v>
      </c>
      <c r="H6" s="57" t="s">
        <v>33</v>
      </c>
      <c r="I6" s="57" t="s">
        <v>4</v>
      </c>
      <c r="J6" s="57" t="s">
        <v>33</v>
      </c>
      <c r="K6" s="58" t="s">
        <v>4</v>
      </c>
    </row>
    <row r="7" spans="1:11" ht="15" customHeight="1" x14ac:dyDescent="0.2">
      <c r="A7" s="51" t="s">
        <v>5</v>
      </c>
      <c r="B7" s="64">
        <f>0.319+0.2372</f>
        <v>0.55620000000000003</v>
      </c>
      <c r="C7" s="64">
        <f>0.2613+0.2209</f>
        <v>0.48219999999999996</v>
      </c>
      <c r="D7" s="61">
        <f>0.2782+0.2782</f>
        <v>0.55640000000000001</v>
      </c>
      <c r="E7" s="64">
        <f>0.2635+0.2219</f>
        <v>0.4854</v>
      </c>
      <c r="F7" s="62" t="s">
        <v>54</v>
      </c>
      <c r="G7" s="64">
        <f>0.2016+0.1963</f>
        <v>0.39790000000000003</v>
      </c>
      <c r="H7" s="64">
        <f>0.2079+0.2414</f>
        <v>0.44930000000000003</v>
      </c>
      <c r="I7" s="64">
        <f>0.2277+0.194</f>
        <v>0.42170000000000002</v>
      </c>
      <c r="J7" s="59">
        <v>0.46289999999999998</v>
      </c>
      <c r="K7" s="60">
        <v>0.42959999999999998</v>
      </c>
    </row>
    <row r="8" spans="1:11" ht="15" customHeight="1" x14ac:dyDescent="0.2">
      <c r="A8" s="52" t="s">
        <v>44</v>
      </c>
      <c r="B8" s="64">
        <f>0.037+0.037</f>
        <v>7.3999999999999996E-2</v>
      </c>
      <c r="C8" s="64">
        <f>0.0914+0.1093</f>
        <v>0.20069999999999999</v>
      </c>
      <c r="D8" s="64">
        <f>0.0364+0.1818</f>
        <v>0.21820000000000001</v>
      </c>
      <c r="E8" s="64">
        <f>0.0963+0.117</f>
        <v>0.21329999999999999</v>
      </c>
      <c r="F8" s="62" t="s">
        <v>54</v>
      </c>
      <c r="G8" s="64">
        <f>0.0838+0.114</f>
        <v>0.1978</v>
      </c>
      <c r="H8" s="64">
        <f>0.0746+0.0896</f>
        <v>0.16420000000000001</v>
      </c>
      <c r="I8" s="64">
        <f>0.0896+0.1087</f>
        <v>0.1983</v>
      </c>
      <c r="J8" s="61">
        <f>0.0676+0.1486</f>
        <v>0.2162</v>
      </c>
      <c r="K8" s="59">
        <f>0.091+0.1095</f>
        <v>0.20050000000000001</v>
      </c>
    </row>
    <row r="9" spans="1:11" ht="15" customHeight="1" x14ac:dyDescent="0.2">
      <c r="A9" s="52" t="s">
        <v>45</v>
      </c>
      <c r="B9" s="64">
        <f>0.1061+0.17685</f>
        <v>0.28295000000000003</v>
      </c>
      <c r="C9" s="64">
        <f>0.0654+0.1449</f>
        <v>0.21029999999999999</v>
      </c>
      <c r="D9" s="64">
        <f>0.0878+0.1622</f>
        <v>0.25</v>
      </c>
      <c r="E9" s="64">
        <f>0.0554+0.1289</f>
        <v>0.18429999999999999</v>
      </c>
      <c r="F9" s="62" t="s">
        <v>54</v>
      </c>
      <c r="G9" s="64">
        <f>0.048+0.1031</f>
        <v>0.15110000000000001</v>
      </c>
      <c r="H9" s="64">
        <f>0.0585+0.1809</f>
        <v>0.2394</v>
      </c>
      <c r="I9" s="64">
        <f>0.0517+0.1164</f>
        <v>0.1681</v>
      </c>
      <c r="J9" s="59">
        <f>0.0653+0.1658</f>
        <v>0.2311</v>
      </c>
      <c r="K9" s="60">
        <f>0.047+0.1136</f>
        <v>0.16060000000000002</v>
      </c>
    </row>
    <row r="10" spans="1:11" ht="15" customHeight="1" x14ac:dyDescent="0.2">
      <c r="A10" s="52" t="s">
        <v>46</v>
      </c>
      <c r="B10" s="64">
        <f>0.2481+0.245</f>
        <v>0.49309999999999998</v>
      </c>
      <c r="C10" s="64">
        <f>0.1578+0.2037</f>
        <v>0.36149999999999999</v>
      </c>
      <c r="D10" s="64">
        <f>0.2151+0.2819</f>
        <v>0.497</v>
      </c>
      <c r="E10" s="64">
        <f>0.1607+0.2054</f>
        <v>0.36609999999999998</v>
      </c>
      <c r="F10" s="62" t="s">
        <v>54</v>
      </c>
      <c r="G10" s="64">
        <f>0.0886+0.1508</f>
        <v>0.2394</v>
      </c>
      <c r="H10" s="64">
        <f>0.1406+0.2344</f>
        <v>0.375</v>
      </c>
      <c r="I10" s="64">
        <f>0.1264+0.1677</f>
        <v>0.29410000000000003</v>
      </c>
      <c r="J10" s="59">
        <f>0.1991+0.1859</f>
        <v>0.38500000000000001</v>
      </c>
      <c r="K10" s="60">
        <f>0.1722+0.1379</f>
        <v>0.31009999999999999</v>
      </c>
    </row>
    <row r="11" spans="1:11" ht="15" customHeight="1" x14ac:dyDescent="0.2">
      <c r="A11" s="51" t="s">
        <v>6</v>
      </c>
      <c r="B11" s="65">
        <f>0.2415+0.3104</f>
        <v>0.55190000000000006</v>
      </c>
      <c r="C11" s="65">
        <f>0.2107+0.2782</f>
        <v>0.4889</v>
      </c>
      <c r="D11" s="65">
        <f>0.2302+0.349</f>
        <v>0.57919999999999994</v>
      </c>
      <c r="E11" s="65">
        <f>0.2551+0.2771</f>
        <v>0.53220000000000001</v>
      </c>
      <c r="F11" s="62" t="s">
        <v>54</v>
      </c>
      <c r="G11" s="65">
        <f>0.1633+0.2341</f>
        <v>0.39739999999999998</v>
      </c>
      <c r="H11" s="65">
        <f>0.1791+0.3047</f>
        <v>0.48380000000000001</v>
      </c>
      <c r="I11" s="65">
        <f>0.1911+0.244</f>
        <v>0.43509999999999999</v>
      </c>
      <c r="J11" s="62">
        <v>0.49840000000000001</v>
      </c>
      <c r="K11" s="63">
        <f>0.2036+0.2475</f>
        <v>0.4511</v>
      </c>
    </row>
    <row r="12" spans="1:11" ht="15" customHeight="1" x14ac:dyDescent="0.2">
      <c r="A12" s="52" t="s">
        <v>44</v>
      </c>
      <c r="B12" s="64">
        <v>0.1111</v>
      </c>
      <c r="C12" s="64">
        <f>0.0835+0.146</f>
        <v>0.22949999999999998</v>
      </c>
      <c r="D12" s="64">
        <f>0.0545+0.0727</f>
        <v>0.12720000000000001</v>
      </c>
      <c r="E12" s="64">
        <f>0.0947+0.1478</f>
        <v>0.24249999999999999</v>
      </c>
      <c r="F12" s="62" t="s">
        <v>54</v>
      </c>
      <c r="G12" s="64">
        <f>0.0822+0.1452</f>
        <v>0.22739999999999999</v>
      </c>
      <c r="H12" s="64">
        <f>0.0735+0.2059</f>
        <v>0.27939999999999998</v>
      </c>
      <c r="I12" s="64">
        <f>0.0876+0.1444</f>
        <v>0.23199999999999998</v>
      </c>
      <c r="J12" s="59">
        <f>0.0137+0.1781</f>
        <v>0.1918</v>
      </c>
      <c r="K12" s="60">
        <f>0.0921+0.1459</f>
        <v>0.23799999999999999</v>
      </c>
    </row>
    <row r="13" spans="1:11" ht="15" customHeight="1" x14ac:dyDescent="0.2">
      <c r="A13" s="52" t="s">
        <v>45</v>
      </c>
      <c r="B13" s="64">
        <f>0.055+0.265</f>
        <v>0.32</v>
      </c>
      <c r="C13" s="64">
        <f>0.065+0.1934</f>
        <v>0.25839999999999996</v>
      </c>
      <c r="D13" s="64">
        <f>0.0467+0.2333</f>
        <v>0.28000000000000003</v>
      </c>
      <c r="E13" s="64">
        <f>0.0647+0.1811</f>
        <v>0.24580000000000002</v>
      </c>
      <c r="F13" s="62" t="s">
        <v>54</v>
      </c>
      <c r="G13" s="64">
        <f>0.0448+0.1275</f>
        <v>0.17230000000000001</v>
      </c>
      <c r="H13" s="64">
        <f>0.0265+0.2646</f>
        <v>0.29110000000000003</v>
      </c>
      <c r="I13" s="64">
        <f>0.0528+0.1544</f>
        <v>0.2072</v>
      </c>
      <c r="J13" s="61">
        <f>0.0603+0.2462</f>
        <v>0.30649999999999999</v>
      </c>
      <c r="K13" s="59">
        <f>0.0548+0.1606</f>
        <v>0.21539999999999998</v>
      </c>
    </row>
    <row r="14" spans="1:11" ht="15" customHeight="1" x14ac:dyDescent="0.2">
      <c r="A14" s="52" t="s">
        <v>46</v>
      </c>
      <c r="B14" s="64">
        <f>0.17+0.3247</f>
        <v>0.49470000000000003</v>
      </c>
      <c r="C14" s="64">
        <f>0.1177+0.251</f>
        <v>0.36870000000000003</v>
      </c>
      <c r="D14" s="64">
        <f>0.1652+0.3378</f>
        <v>0.503</v>
      </c>
      <c r="E14" s="64">
        <f>0.1303+0.2545</f>
        <v>0.38480000000000003</v>
      </c>
      <c r="F14" s="62" t="s">
        <v>54</v>
      </c>
      <c r="G14" s="64">
        <f>0.0617+0.1742</f>
        <v>0.2359</v>
      </c>
      <c r="H14" s="64">
        <f>0.1228+0.2846</f>
        <v>0.40740000000000004</v>
      </c>
      <c r="I14" s="64">
        <f>0.097+0.2065</f>
        <v>0.30349999999999999</v>
      </c>
      <c r="J14" s="59">
        <f>0.1598+0.2742</f>
        <v>0.434</v>
      </c>
      <c r="K14" s="60">
        <f>0.1129+0.2172</f>
        <v>0.3301</v>
      </c>
    </row>
    <row r="15" spans="1:11" ht="15" customHeight="1" x14ac:dyDescent="0.2">
      <c r="A15" s="51" t="s">
        <v>7</v>
      </c>
      <c r="B15" s="62" t="s">
        <v>54</v>
      </c>
      <c r="C15" s="62" t="s">
        <v>54</v>
      </c>
      <c r="D15" s="62" t="s">
        <v>54</v>
      </c>
      <c r="E15" s="62" t="s">
        <v>54</v>
      </c>
      <c r="F15" s="62" t="s">
        <v>54</v>
      </c>
      <c r="G15" s="62" t="s">
        <v>54</v>
      </c>
      <c r="H15" s="62" t="s">
        <v>54</v>
      </c>
      <c r="I15" s="62" t="s">
        <v>54</v>
      </c>
      <c r="J15" s="62" t="s">
        <v>54</v>
      </c>
      <c r="K15" s="62" t="s">
        <v>54</v>
      </c>
    </row>
    <row r="16" spans="1:11" ht="15" customHeight="1" x14ac:dyDescent="0.2">
      <c r="A16" s="52" t="s">
        <v>44</v>
      </c>
      <c r="B16" s="62" t="s">
        <v>54</v>
      </c>
      <c r="C16" s="62" t="s">
        <v>54</v>
      </c>
      <c r="D16" s="62" t="s">
        <v>54</v>
      </c>
      <c r="E16" s="62" t="s">
        <v>54</v>
      </c>
      <c r="F16" s="62" t="s">
        <v>54</v>
      </c>
      <c r="G16" s="62" t="s">
        <v>54</v>
      </c>
      <c r="H16" s="62" t="s">
        <v>54</v>
      </c>
      <c r="I16" s="62" t="s">
        <v>54</v>
      </c>
      <c r="J16" s="62" t="s">
        <v>54</v>
      </c>
      <c r="K16" s="62" t="s">
        <v>54</v>
      </c>
    </row>
    <row r="17" spans="1:11" ht="15" customHeight="1" x14ac:dyDescent="0.2">
      <c r="A17" s="52" t="s">
        <v>45</v>
      </c>
      <c r="B17" s="62" t="s">
        <v>54</v>
      </c>
      <c r="C17" s="62" t="s">
        <v>54</v>
      </c>
      <c r="D17" s="62" t="s">
        <v>54</v>
      </c>
      <c r="E17" s="62" t="s">
        <v>54</v>
      </c>
      <c r="F17" s="62" t="s">
        <v>54</v>
      </c>
      <c r="G17" s="62" t="s">
        <v>54</v>
      </c>
      <c r="H17" s="62" t="s">
        <v>54</v>
      </c>
      <c r="I17" s="62" t="s">
        <v>54</v>
      </c>
      <c r="J17" s="62" t="s">
        <v>54</v>
      </c>
      <c r="K17" s="62" t="s">
        <v>54</v>
      </c>
    </row>
    <row r="18" spans="1:11" ht="15" customHeight="1" x14ac:dyDescent="0.2">
      <c r="A18" s="52" t="s">
        <v>46</v>
      </c>
      <c r="B18" s="62" t="s">
        <v>54</v>
      </c>
      <c r="C18" s="62" t="s">
        <v>54</v>
      </c>
      <c r="D18" s="62" t="s">
        <v>54</v>
      </c>
      <c r="E18" s="62" t="s">
        <v>54</v>
      </c>
      <c r="F18" s="62" t="s">
        <v>54</v>
      </c>
      <c r="G18" s="62" t="s">
        <v>54</v>
      </c>
      <c r="H18" s="62" t="s">
        <v>54</v>
      </c>
      <c r="I18" s="62" t="s">
        <v>54</v>
      </c>
      <c r="J18" s="62" t="s">
        <v>54</v>
      </c>
      <c r="K18" s="62" t="s">
        <v>54</v>
      </c>
    </row>
    <row r="19" spans="1:11" ht="15" customHeight="1" x14ac:dyDescent="0.2">
      <c r="A19" s="51" t="s">
        <v>8</v>
      </c>
      <c r="B19" s="62" t="s">
        <v>54</v>
      </c>
      <c r="C19" s="62" t="s">
        <v>54</v>
      </c>
      <c r="D19" s="62" t="s">
        <v>54</v>
      </c>
      <c r="E19" s="62" t="s">
        <v>54</v>
      </c>
      <c r="F19" s="62" t="s">
        <v>54</v>
      </c>
      <c r="G19" s="62" t="s">
        <v>54</v>
      </c>
      <c r="H19" s="62" t="s">
        <v>54</v>
      </c>
      <c r="I19" s="62" t="s">
        <v>54</v>
      </c>
      <c r="J19" s="62" t="s">
        <v>54</v>
      </c>
      <c r="K19" s="62" t="s">
        <v>54</v>
      </c>
    </row>
    <row r="20" spans="1:11" ht="15" customHeight="1" x14ac:dyDescent="0.2">
      <c r="A20" s="52" t="s">
        <v>44</v>
      </c>
      <c r="B20" s="62" t="s">
        <v>54</v>
      </c>
      <c r="C20" s="62" t="s">
        <v>54</v>
      </c>
      <c r="D20" s="62" t="s">
        <v>54</v>
      </c>
      <c r="E20" s="62" t="s">
        <v>54</v>
      </c>
      <c r="F20" s="62" t="s">
        <v>54</v>
      </c>
      <c r="G20" s="62" t="s">
        <v>54</v>
      </c>
      <c r="H20" s="62" t="s">
        <v>54</v>
      </c>
      <c r="I20" s="62" t="s">
        <v>54</v>
      </c>
      <c r="J20" s="62" t="s">
        <v>54</v>
      </c>
      <c r="K20" s="62" t="s">
        <v>54</v>
      </c>
    </row>
    <row r="21" spans="1:11" ht="15" customHeight="1" x14ac:dyDescent="0.2">
      <c r="A21" s="52" t="s">
        <v>45</v>
      </c>
      <c r="B21" s="62" t="s">
        <v>54</v>
      </c>
      <c r="C21" s="62" t="s">
        <v>54</v>
      </c>
      <c r="D21" s="62" t="s">
        <v>54</v>
      </c>
      <c r="E21" s="62" t="s">
        <v>54</v>
      </c>
      <c r="F21" s="62" t="s">
        <v>54</v>
      </c>
      <c r="G21" s="62" t="s">
        <v>54</v>
      </c>
      <c r="H21" s="62" t="s">
        <v>54</v>
      </c>
      <c r="I21" s="62" t="s">
        <v>54</v>
      </c>
      <c r="J21" s="62" t="s">
        <v>54</v>
      </c>
      <c r="K21" s="62" t="s">
        <v>54</v>
      </c>
    </row>
    <row r="22" spans="1:11" ht="15" customHeight="1" thickBot="1" x14ac:dyDescent="0.25">
      <c r="A22" s="52" t="s">
        <v>46</v>
      </c>
      <c r="B22" s="62" t="s">
        <v>54</v>
      </c>
      <c r="C22" s="62" t="s">
        <v>54</v>
      </c>
      <c r="D22" s="62" t="s">
        <v>54</v>
      </c>
      <c r="E22" s="62" t="s">
        <v>54</v>
      </c>
      <c r="F22" s="62" t="s">
        <v>54</v>
      </c>
      <c r="G22" s="62" t="s">
        <v>54</v>
      </c>
      <c r="H22" s="62" t="s">
        <v>54</v>
      </c>
      <c r="I22" s="62" t="s">
        <v>54</v>
      </c>
      <c r="J22" s="62" t="s">
        <v>54</v>
      </c>
      <c r="K22" s="62" t="s">
        <v>54</v>
      </c>
    </row>
    <row r="23" spans="1:11" ht="15" customHeight="1" thickBot="1" x14ac:dyDescent="0.25">
      <c r="A23" s="122" t="s">
        <v>9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7"/>
    </row>
    <row r="24" spans="1:11" ht="15" customHeight="1" x14ac:dyDescent="0.2">
      <c r="A24" s="49"/>
      <c r="B24" s="118" t="s">
        <v>51</v>
      </c>
      <c r="C24" s="119"/>
      <c r="D24" s="118" t="s">
        <v>50</v>
      </c>
      <c r="E24" s="119"/>
      <c r="F24" s="118" t="s">
        <v>52</v>
      </c>
      <c r="G24" s="119"/>
      <c r="H24" s="118" t="s">
        <v>49</v>
      </c>
      <c r="I24" s="119"/>
      <c r="J24" s="120" t="s">
        <v>48</v>
      </c>
      <c r="K24" s="121"/>
    </row>
    <row r="25" spans="1:11" ht="15" customHeight="1" x14ac:dyDescent="0.2">
      <c r="A25" s="50" t="s">
        <v>2</v>
      </c>
      <c r="B25" s="55" t="s">
        <v>33</v>
      </c>
      <c r="C25" s="57" t="s">
        <v>4</v>
      </c>
      <c r="D25" s="57" t="s">
        <v>33</v>
      </c>
      <c r="E25" s="57" t="s">
        <v>4</v>
      </c>
      <c r="F25" s="57" t="s">
        <v>33</v>
      </c>
      <c r="G25" s="57" t="s">
        <v>4</v>
      </c>
      <c r="H25" s="57" t="s">
        <v>33</v>
      </c>
      <c r="I25" s="57" t="s">
        <v>4</v>
      </c>
      <c r="J25" s="57" t="s">
        <v>33</v>
      </c>
      <c r="K25" s="58" t="s">
        <v>4</v>
      </c>
    </row>
    <row r="26" spans="1:11" ht="15" customHeight="1" x14ac:dyDescent="0.2">
      <c r="A26" s="51" t="s">
        <v>5</v>
      </c>
      <c r="B26" s="59">
        <f>0.2415+0.2663</f>
        <v>0.50780000000000003</v>
      </c>
      <c r="C26" s="59">
        <f>0.2631+0.2236</f>
        <v>0.48670000000000002</v>
      </c>
      <c r="D26" s="59">
        <f>0.3091+0.234</f>
        <v>0.54310000000000003</v>
      </c>
      <c r="E26" s="59">
        <f>0.2687+0.2259</f>
        <v>0.49459999999999998</v>
      </c>
      <c r="F26" s="62" t="s">
        <v>54</v>
      </c>
      <c r="G26" s="59">
        <f>0.2109+0.2039</f>
        <v>0.4148</v>
      </c>
      <c r="H26" s="59">
        <f>0.2008+0.21</f>
        <v>0.4108</v>
      </c>
      <c r="I26" s="59">
        <f>0.235+0.2072</f>
        <v>0.44219999999999998</v>
      </c>
      <c r="J26" s="59">
        <f>0.2214+0.2163</f>
        <v>0.43769999999999998</v>
      </c>
      <c r="K26" s="60">
        <f>0.24+0.1974</f>
        <v>0.43740000000000001</v>
      </c>
    </row>
    <row r="27" spans="1:11" ht="15" customHeight="1" x14ac:dyDescent="0.2">
      <c r="A27" s="52" t="s">
        <v>44</v>
      </c>
      <c r="B27" s="59">
        <f>0.0125+0.0875</f>
        <v>9.9999999999999992E-2</v>
      </c>
      <c r="C27" s="59">
        <f>0.0784+0.1011</f>
        <v>0.17949999999999999</v>
      </c>
      <c r="D27" s="59">
        <f>0.0714+0.125</f>
        <v>0.19640000000000002</v>
      </c>
      <c r="E27" s="59">
        <f>0.0841+0.1102</f>
        <v>0.1943</v>
      </c>
      <c r="F27" s="62" t="s">
        <v>54</v>
      </c>
      <c r="G27" s="59">
        <f>0.0717+0.1078</f>
        <v>0.17949999999999999</v>
      </c>
      <c r="H27" s="59">
        <f>0.0149+0.1343</f>
        <v>0.1492</v>
      </c>
      <c r="I27" s="59">
        <f>0.0793+0.1059</f>
        <v>0.18519999999999998</v>
      </c>
      <c r="J27" s="59">
        <f>0.0588+0.1176</f>
        <v>0.1764</v>
      </c>
      <c r="K27" s="60">
        <f>0.0816+0.0989</f>
        <v>0.18049999999999999</v>
      </c>
    </row>
    <row r="28" spans="1:11" ht="15" customHeight="1" x14ac:dyDescent="0.2">
      <c r="A28" s="52" t="s">
        <v>45</v>
      </c>
      <c r="B28" s="59">
        <f>0.0127+0.1139</f>
        <v>0.12659999999999999</v>
      </c>
      <c r="C28" s="59">
        <f>0.0359+0.1198</f>
        <v>0.15570000000000001</v>
      </c>
      <c r="D28" s="59">
        <f>0.0848+0.1273</f>
        <v>0.21210000000000001</v>
      </c>
      <c r="E28" s="59">
        <f>0.0428+0.1331</f>
        <v>0.1759</v>
      </c>
      <c r="F28" s="62" t="s">
        <v>54</v>
      </c>
      <c r="G28" s="59">
        <f>0.0335+0.0954</f>
        <v>0.12890000000000001</v>
      </c>
      <c r="H28" s="59">
        <f>0.0439+0.1171</f>
        <v>0.161</v>
      </c>
      <c r="I28" s="59">
        <f>0.0409+0.1243</f>
        <v>0.16519999999999999</v>
      </c>
      <c r="J28" s="59">
        <f>0.017+0.1136</f>
        <v>0.13059999999999999</v>
      </c>
      <c r="K28" s="60">
        <f>0.0312+0.1051</f>
        <v>0.1363</v>
      </c>
    </row>
    <row r="29" spans="1:11" ht="15" customHeight="1" x14ac:dyDescent="0.2">
      <c r="A29" s="52" t="s">
        <v>46</v>
      </c>
      <c r="B29" s="59">
        <f>0.1849+0.2731</f>
        <v>0.45800000000000002</v>
      </c>
      <c r="C29" s="61">
        <f>0.1567+0.2087</f>
        <v>0.3654</v>
      </c>
      <c r="D29" s="59">
        <f>0.2496+0.2219</f>
        <v>0.47149999999999997</v>
      </c>
      <c r="E29" s="59">
        <f>0.1626+0.2123</f>
        <v>0.37490000000000001</v>
      </c>
      <c r="F29" s="62" t="s">
        <v>54</v>
      </c>
      <c r="G29" s="59">
        <f>0.097+0.1648</f>
        <v>0.26180000000000003</v>
      </c>
      <c r="H29" s="59">
        <f>0.1339+0.1817</f>
        <v>0.31559999999999999</v>
      </c>
      <c r="I29" s="59">
        <f>0.1313+0.1841</f>
        <v>0.31540000000000001</v>
      </c>
      <c r="J29" s="59">
        <f>0.1534+0.2065</f>
        <v>0.3599</v>
      </c>
      <c r="K29" s="60">
        <f>0.14+0.1762</f>
        <v>0.31620000000000004</v>
      </c>
    </row>
    <row r="30" spans="1:11" ht="15" customHeight="1" x14ac:dyDescent="0.2">
      <c r="A30" s="51" t="s">
        <v>6</v>
      </c>
      <c r="B30" s="62">
        <f>0.1658+0.2606</f>
        <v>0.4264</v>
      </c>
      <c r="C30" s="62">
        <f>0.1846+0.2445</f>
        <v>0.42909999999999998</v>
      </c>
      <c r="D30" s="62">
        <f>0.1923+0.2796</f>
        <v>0.47189999999999999</v>
      </c>
      <c r="E30" s="62">
        <f>0.2002+0.2492</f>
        <v>0.44940000000000002</v>
      </c>
      <c r="F30" s="62" t="s">
        <v>54</v>
      </c>
      <c r="G30" s="62">
        <f>0.1472+0.2115</f>
        <v>0.35870000000000002</v>
      </c>
      <c r="H30" s="61">
        <f>0.1161+0.2281</f>
        <v>0.34420000000000001</v>
      </c>
      <c r="I30" s="62">
        <f>0.1671+0.2155</f>
        <v>0.3826</v>
      </c>
      <c r="J30" s="62">
        <f>0.2608+0.1632</f>
        <v>0.42399999999999999</v>
      </c>
      <c r="K30" s="63">
        <f>0.1868+0.2212</f>
        <v>0.40800000000000003</v>
      </c>
    </row>
    <row r="31" spans="1:11" ht="15" customHeight="1" x14ac:dyDescent="0.2">
      <c r="A31" s="52" t="s">
        <v>44</v>
      </c>
      <c r="B31" s="59">
        <f>0.025+0.0625</f>
        <v>8.7499999999999994E-2</v>
      </c>
      <c r="C31" s="59">
        <f>0.0621+0.1099</f>
        <v>0.17199999999999999</v>
      </c>
      <c r="D31" s="59">
        <v>8.77E-2</v>
      </c>
      <c r="E31" s="59">
        <f>0.0703+0.1147</f>
        <v>0.185</v>
      </c>
      <c r="F31" s="62" t="s">
        <v>54</v>
      </c>
      <c r="G31" s="59">
        <f>0.0662+0.1074</f>
        <v>0.17359999999999998</v>
      </c>
      <c r="H31" s="59">
        <v>5.8799999999999998E-2</v>
      </c>
      <c r="I31" s="59">
        <f>0.0659+0.1083</f>
        <v>0.17419999999999999</v>
      </c>
      <c r="J31" s="59">
        <f>0.0735+0.1618</f>
        <v>0.23530000000000001</v>
      </c>
      <c r="K31" s="60">
        <f>0.0726+0.1152</f>
        <v>0.18779999999999999</v>
      </c>
    </row>
    <row r="32" spans="1:11" ht="15" customHeight="1" x14ac:dyDescent="0.2">
      <c r="A32" s="52" t="s">
        <v>45</v>
      </c>
      <c r="B32" s="59">
        <f>0.0125+0.0813</f>
        <v>9.3799999999999994E-2</v>
      </c>
      <c r="C32" s="59">
        <f>0.0331+0.1173</f>
        <v>0.15040000000000001</v>
      </c>
      <c r="D32" s="59">
        <f>0.0121+0.1697</f>
        <v>0.18179999999999999</v>
      </c>
      <c r="E32" s="59">
        <f>0.0413+0.1363</f>
        <v>0.17760000000000001</v>
      </c>
      <c r="F32" s="62" t="s">
        <v>54</v>
      </c>
      <c r="G32" s="59">
        <f>0.0254+0.0846</f>
        <v>0.10999999999999999</v>
      </c>
      <c r="H32" s="59">
        <f>0.0193+0.1014</f>
        <v>0.1207</v>
      </c>
      <c r="I32" s="59">
        <f>0.0316+0.11</f>
        <v>0.1416</v>
      </c>
      <c r="J32" s="59">
        <f>0.0847+0.1568</f>
        <v>0.24149999999999999</v>
      </c>
      <c r="K32" s="60">
        <f>0.1144+0.1727</f>
        <v>0.28710000000000002</v>
      </c>
    </row>
    <row r="33" spans="1:11" ht="15" customHeight="1" x14ac:dyDescent="0.2">
      <c r="A33" s="52" t="s">
        <v>46</v>
      </c>
      <c r="B33" s="59">
        <f>0.1034+0.264</f>
        <v>0.3674</v>
      </c>
      <c r="C33" s="59">
        <f>0.094+0.2092</f>
        <v>0.30320000000000003</v>
      </c>
      <c r="D33" s="61">
        <f>0.1312+0.267</f>
        <v>0.3982</v>
      </c>
      <c r="E33" s="59">
        <f>0.1067+0.218</f>
        <v>0.32469999999999999</v>
      </c>
      <c r="F33" s="62" t="s">
        <v>54</v>
      </c>
      <c r="G33" s="59">
        <f>0.0517+0.1479</f>
        <v>0.1996</v>
      </c>
      <c r="H33" s="59">
        <f>0.0641+0.1832</f>
        <v>0.24730000000000002</v>
      </c>
      <c r="I33" s="59">
        <f>0.0754+0.1749</f>
        <v>0.25029999999999997</v>
      </c>
      <c r="J33" s="59">
        <f>0.1044+0.2353</f>
        <v>0.3397</v>
      </c>
      <c r="K33" s="60">
        <f>0.0943+0.1861</f>
        <v>0.28039999999999998</v>
      </c>
    </row>
    <row r="34" spans="1:11" ht="15" customHeight="1" x14ac:dyDescent="0.2">
      <c r="A34" s="51" t="s">
        <v>7</v>
      </c>
      <c r="B34" s="62" t="s">
        <v>54</v>
      </c>
      <c r="C34" s="62" t="s">
        <v>54</v>
      </c>
      <c r="D34" s="62" t="s">
        <v>54</v>
      </c>
      <c r="E34" s="62" t="s">
        <v>54</v>
      </c>
      <c r="F34" s="62" t="s">
        <v>54</v>
      </c>
      <c r="G34" s="62" t="s">
        <v>54</v>
      </c>
      <c r="H34" s="62" t="s">
        <v>54</v>
      </c>
      <c r="I34" s="62" t="s">
        <v>54</v>
      </c>
      <c r="J34" s="62" t="s">
        <v>54</v>
      </c>
      <c r="K34" s="62" t="s">
        <v>54</v>
      </c>
    </row>
    <row r="35" spans="1:11" ht="15" customHeight="1" x14ac:dyDescent="0.2">
      <c r="A35" s="52" t="s">
        <v>44</v>
      </c>
      <c r="B35" s="62" t="s">
        <v>54</v>
      </c>
      <c r="C35" s="62" t="s">
        <v>54</v>
      </c>
      <c r="D35" s="62" t="s">
        <v>54</v>
      </c>
      <c r="E35" s="62" t="s">
        <v>54</v>
      </c>
      <c r="F35" s="62" t="s">
        <v>54</v>
      </c>
      <c r="G35" s="62" t="s">
        <v>54</v>
      </c>
      <c r="H35" s="62" t="s">
        <v>54</v>
      </c>
      <c r="I35" s="62" t="s">
        <v>54</v>
      </c>
      <c r="J35" s="62" t="s">
        <v>54</v>
      </c>
      <c r="K35" s="62" t="s">
        <v>54</v>
      </c>
    </row>
    <row r="36" spans="1:11" ht="15" customHeight="1" x14ac:dyDescent="0.2">
      <c r="A36" s="52" t="s">
        <v>45</v>
      </c>
      <c r="B36" s="62" t="s">
        <v>54</v>
      </c>
      <c r="C36" s="62" t="s">
        <v>54</v>
      </c>
      <c r="D36" s="62" t="s">
        <v>54</v>
      </c>
      <c r="E36" s="62" t="s">
        <v>54</v>
      </c>
      <c r="F36" s="62" t="s">
        <v>54</v>
      </c>
      <c r="G36" s="62" t="s">
        <v>54</v>
      </c>
      <c r="H36" s="62" t="s">
        <v>54</v>
      </c>
      <c r="I36" s="62" t="s">
        <v>54</v>
      </c>
      <c r="J36" s="62" t="s">
        <v>54</v>
      </c>
      <c r="K36" s="62" t="s">
        <v>54</v>
      </c>
    </row>
    <row r="37" spans="1:11" ht="15" customHeight="1" x14ac:dyDescent="0.2">
      <c r="A37" s="52" t="s">
        <v>46</v>
      </c>
      <c r="B37" s="62" t="s">
        <v>54</v>
      </c>
      <c r="C37" s="62" t="s">
        <v>54</v>
      </c>
      <c r="D37" s="62" t="s">
        <v>54</v>
      </c>
      <c r="E37" s="62" t="s">
        <v>54</v>
      </c>
      <c r="F37" s="62" t="s">
        <v>54</v>
      </c>
      <c r="G37" s="62" t="s">
        <v>54</v>
      </c>
      <c r="H37" s="62" t="s">
        <v>54</v>
      </c>
      <c r="I37" s="62" t="s">
        <v>54</v>
      </c>
      <c r="J37" s="62" t="s">
        <v>54</v>
      </c>
      <c r="K37" s="62" t="s">
        <v>54</v>
      </c>
    </row>
    <row r="38" spans="1:11" ht="15" customHeight="1" x14ac:dyDescent="0.2">
      <c r="A38" s="51" t="s">
        <v>8</v>
      </c>
      <c r="B38" s="62" t="s">
        <v>54</v>
      </c>
      <c r="C38" s="62" t="s">
        <v>54</v>
      </c>
      <c r="D38" s="62" t="s">
        <v>54</v>
      </c>
      <c r="E38" s="62" t="s">
        <v>54</v>
      </c>
      <c r="F38" s="62" t="s">
        <v>54</v>
      </c>
      <c r="G38" s="62" t="s">
        <v>54</v>
      </c>
      <c r="H38" s="62" t="s">
        <v>54</v>
      </c>
      <c r="I38" s="62" t="s">
        <v>54</v>
      </c>
      <c r="J38" s="62" t="s">
        <v>54</v>
      </c>
      <c r="K38" s="62" t="s">
        <v>54</v>
      </c>
    </row>
    <row r="39" spans="1:11" ht="15" customHeight="1" x14ac:dyDescent="0.2">
      <c r="A39" s="52" t="s">
        <v>44</v>
      </c>
      <c r="B39" s="62" t="s">
        <v>54</v>
      </c>
      <c r="C39" s="62" t="s">
        <v>54</v>
      </c>
      <c r="D39" s="62" t="s">
        <v>54</v>
      </c>
      <c r="E39" s="62" t="s">
        <v>54</v>
      </c>
      <c r="F39" s="62" t="s">
        <v>54</v>
      </c>
      <c r="G39" s="62" t="s">
        <v>54</v>
      </c>
      <c r="H39" s="62" t="s">
        <v>54</v>
      </c>
      <c r="I39" s="62" t="s">
        <v>54</v>
      </c>
      <c r="J39" s="62" t="s">
        <v>54</v>
      </c>
      <c r="K39" s="62" t="s">
        <v>54</v>
      </c>
    </row>
    <row r="40" spans="1:11" ht="15" customHeight="1" x14ac:dyDescent="0.2">
      <c r="A40" s="52" t="s">
        <v>45</v>
      </c>
      <c r="B40" s="62" t="s">
        <v>54</v>
      </c>
      <c r="C40" s="62" t="s">
        <v>54</v>
      </c>
      <c r="D40" s="62" t="s">
        <v>54</v>
      </c>
      <c r="E40" s="62" t="s">
        <v>54</v>
      </c>
      <c r="F40" s="62" t="s">
        <v>54</v>
      </c>
      <c r="G40" s="62" t="s">
        <v>54</v>
      </c>
      <c r="H40" s="62" t="s">
        <v>54</v>
      </c>
      <c r="I40" s="62" t="s">
        <v>54</v>
      </c>
      <c r="J40" s="62" t="s">
        <v>54</v>
      </c>
      <c r="K40" s="62" t="s">
        <v>54</v>
      </c>
    </row>
    <row r="41" spans="1:11" ht="15" customHeight="1" thickBot="1" x14ac:dyDescent="0.25">
      <c r="A41" s="52" t="s">
        <v>46</v>
      </c>
      <c r="B41" s="62" t="s">
        <v>54</v>
      </c>
      <c r="C41" s="62" t="s">
        <v>54</v>
      </c>
      <c r="D41" s="62" t="s">
        <v>54</v>
      </c>
      <c r="E41" s="62" t="s">
        <v>54</v>
      </c>
      <c r="F41" s="62" t="s">
        <v>54</v>
      </c>
      <c r="G41" s="62" t="s">
        <v>54</v>
      </c>
      <c r="H41" s="62" t="s">
        <v>54</v>
      </c>
      <c r="I41" s="62" t="s">
        <v>54</v>
      </c>
      <c r="J41" s="62" t="s">
        <v>54</v>
      </c>
      <c r="K41" s="62" t="s">
        <v>54</v>
      </c>
    </row>
    <row r="42" spans="1:11" ht="15" customHeight="1" thickBot="1" x14ac:dyDescent="0.25">
      <c r="A42" s="123" t="s">
        <v>10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7"/>
    </row>
    <row r="43" spans="1:11" ht="15" customHeight="1" x14ac:dyDescent="0.2">
      <c r="A43" s="49"/>
      <c r="B43" s="118" t="s">
        <v>51</v>
      </c>
      <c r="C43" s="119"/>
      <c r="D43" s="118" t="s">
        <v>50</v>
      </c>
      <c r="E43" s="119"/>
      <c r="F43" s="118" t="s">
        <v>52</v>
      </c>
      <c r="G43" s="119"/>
      <c r="H43" s="118" t="s">
        <v>49</v>
      </c>
      <c r="I43" s="119"/>
      <c r="J43" s="120" t="s">
        <v>48</v>
      </c>
      <c r="K43" s="121"/>
    </row>
    <row r="44" spans="1:11" ht="15" customHeight="1" x14ac:dyDescent="0.2">
      <c r="A44" s="50" t="s">
        <v>2</v>
      </c>
      <c r="B44" s="55" t="s">
        <v>33</v>
      </c>
      <c r="C44" s="57" t="s">
        <v>4</v>
      </c>
      <c r="D44" s="57" t="s">
        <v>33</v>
      </c>
      <c r="E44" s="57" t="s">
        <v>4</v>
      </c>
      <c r="F44" s="57" t="s">
        <v>33</v>
      </c>
      <c r="G44" s="57" t="s">
        <v>4</v>
      </c>
      <c r="H44" s="57" t="s">
        <v>33</v>
      </c>
      <c r="I44" s="57" t="s">
        <v>4</v>
      </c>
      <c r="J44" s="57" t="s">
        <v>33</v>
      </c>
      <c r="K44" s="58" t="s">
        <v>4</v>
      </c>
    </row>
    <row r="45" spans="1:11" ht="15" customHeight="1" x14ac:dyDescent="0.2">
      <c r="A45" s="51" t="s">
        <v>5</v>
      </c>
      <c r="B45" s="59">
        <f>0.1707+0.3017</f>
        <v>0.47240000000000004</v>
      </c>
      <c r="C45" s="59">
        <v>0.51680000000000004</v>
      </c>
      <c r="D45" s="59">
        <f>0.1905+0.3199</f>
        <v>0.51039999999999996</v>
      </c>
      <c r="E45" s="59">
        <f>0.2366+0.2802</f>
        <v>0.51680000000000004</v>
      </c>
      <c r="F45" s="62" t="s">
        <v>54</v>
      </c>
      <c r="G45" s="59">
        <f>0.2098+0.2547</f>
        <v>0.46449999999999997</v>
      </c>
      <c r="H45" s="59">
        <f>0.1829+0.2783</f>
        <v>0.4612</v>
      </c>
      <c r="I45" s="59">
        <f>0.2144+0.2565</f>
        <v>0.47089999999999999</v>
      </c>
      <c r="J45" s="59">
        <f>0.1803+0.2684</f>
        <v>0.44869999999999999</v>
      </c>
      <c r="K45" s="60">
        <f>0.2187+0.21481</f>
        <v>0.43351000000000001</v>
      </c>
    </row>
    <row r="46" spans="1:11" ht="15" customHeight="1" x14ac:dyDescent="0.2">
      <c r="A46" s="52" t="s">
        <v>44</v>
      </c>
      <c r="B46" s="59">
        <f>0.0172+0.0862</f>
        <v>0.10339999999999999</v>
      </c>
      <c r="C46" s="59">
        <v>0.1799</v>
      </c>
      <c r="D46" s="59">
        <f>0.012+0.1446</f>
        <v>0.15660000000000002</v>
      </c>
      <c r="E46" s="59">
        <f>0.0608+0.1191</f>
        <v>0.1799</v>
      </c>
      <c r="F46" s="62" t="s">
        <v>54</v>
      </c>
      <c r="G46" s="59">
        <f>0.055+0.1182</f>
        <v>0.17319999999999999</v>
      </c>
      <c r="H46" s="59">
        <f>0.0154+0.1692</f>
        <v>0.18459999999999999</v>
      </c>
      <c r="I46" s="59">
        <f>0.0595+0.1142</f>
        <v>0.17369999999999999</v>
      </c>
      <c r="J46" s="59">
        <v>9.8599999999999993E-2</v>
      </c>
      <c r="K46" s="60">
        <f>0.0607+0.1103</f>
        <v>0.17099999999999999</v>
      </c>
    </row>
    <row r="47" spans="1:11" ht="15" customHeight="1" x14ac:dyDescent="0.2">
      <c r="A47" s="52" t="s">
        <v>45</v>
      </c>
      <c r="B47" s="59">
        <f>0.0069+0.1319</f>
        <v>0.13879999999999998</v>
      </c>
      <c r="C47" s="59">
        <v>0.13300000000000001</v>
      </c>
      <c r="D47" s="59">
        <f>0.007+0.0986</f>
        <v>0.1056</v>
      </c>
      <c r="E47" s="59">
        <f>0.0166+0.1164</f>
        <v>0.13300000000000001</v>
      </c>
      <c r="F47" s="62" t="s">
        <v>54</v>
      </c>
      <c r="G47" s="59">
        <f>0.0191+0.1003</f>
        <v>0.11940000000000001</v>
      </c>
      <c r="H47" s="59">
        <f>0.0169+0.1638</f>
        <v>0.1807</v>
      </c>
      <c r="I47" s="59">
        <f>0.0198+0.117</f>
        <v>0.1368</v>
      </c>
      <c r="J47" s="59">
        <f>0.0114+0.1029</f>
        <v>0.11430000000000001</v>
      </c>
      <c r="K47" s="60">
        <f>0.016+0.107</f>
        <v>0.123</v>
      </c>
    </row>
    <row r="48" spans="1:11" ht="15" customHeight="1" x14ac:dyDescent="0.2">
      <c r="A48" s="52" t="s">
        <v>46</v>
      </c>
      <c r="B48" s="59">
        <f>0.116+0.2845</f>
        <v>0.40049999999999997</v>
      </c>
      <c r="C48" s="59">
        <v>0.1799</v>
      </c>
      <c r="D48" s="59">
        <f>0.1424+0.3098</f>
        <v>0.45220000000000005</v>
      </c>
      <c r="E48" s="61">
        <f>0.1355+0.2605</f>
        <v>0.39600000000000002</v>
      </c>
      <c r="F48" s="62" t="s">
        <v>54</v>
      </c>
      <c r="G48" s="61">
        <f>0.1036+0.2163</f>
        <v>0.31989999999999996</v>
      </c>
      <c r="H48" s="59">
        <f>0.1392+0.2656</f>
        <v>0.40479999999999999</v>
      </c>
      <c r="I48" s="59">
        <f>0.1196+0.2282</f>
        <v>0.3478</v>
      </c>
      <c r="J48" s="59">
        <f>0.129+0.2536</f>
        <v>0.3826</v>
      </c>
      <c r="K48" s="60">
        <f>0.1249+0.223</f>
        <v>0.34789999999999999</v>
      </c>
    </row>
    <row r="49" spans="1:11" ht="15" customHeight="1" x14ac:dyDescent="0.2">
      <c r="A49" s="51" t="s">
        <v>6</v>
      </c>
      <c r="B49" s="62">
        <f>0.1367+0.1962</f>
        <v>0.33289999999999997</v>
      </c>
      <c r="C49" s="62">
        <v>0.37990000000000002</v>
      </c>
      <c r="D49" s="62">
        <f>0.1541+0.1986</f>
        <v>0.35270000000000001</v>
      </c>
      <c r="E49" s="62">
        <f>0.2119+0.168</f>
        <v>0.37990000000000002</v>
      </c>
      <c r="F49" s="62" t="s">
        <v>54</v>
      </c>
      <c r="G49" s="62">
        <f>0.1583+0.1426</f>
        <v>0.3009</v>
      </c>
      <c r="H49" s="61">
        <f>0.1073+0.1496</f>
        <v>0.25690000000000002</v>
      </c>
      <c r="I49" s="62">
        <f>0.1694+0.1462</f>
        <v>0.31559999999999999</v>
      </c>
      <c r="J49" s="62">
        <f>0.1461+0.1553</f>
        <v>0.3014</v>
      </c>
      <c r="K49" s="63">
        <f>0.1859+0.1509</f>
        <v>0.33679999999999999</v>
      </c>
    </row>
    <row r="50" spans="1:11" ht="15" customHeight="1" x14ac:dyDescent="0.2">
      <c r="A50" s="52" t="s">
        <v>44</v>
      </c>
      <c r="B50" s="61">
        <f>0.069</f>
        <v>6.9000000000000006E-2</v>
      </c>
      <c r="C50" s="59">
        <v>0.128</v>
      </c>
      <c r="D50" s="59">
        <f>0.0241+0.0602</f>
        <v>8.43E-2</v>
      </c>
      <c r="E50" s="59">
        <f>0.0613+0.0667</f>
        <v>0.128</v>
      </c>
      <c r="F50" s="62" t="s">
        <v>54</v>
      </c>
      <c r="G50" s="59">
        <f>0.0527+0.0587</f>
        <v>0.1114</v>
      </c>
      <c r="H50" s="66">
        <f>0.0308+0.0308</f>
        <v>6.1600000000000002E-2</v>
      </c>
      <c r="I50" s="59">
        <f>0.056+0.0606</f>
        <v>0.11660000000000001</v>
      </c>
      <c r="J50" s="59">
        <f>0.0423+0.0563</f>
        <v>9.8599999999999993E-2</v>
      </c>
      <c r="K50" s="60">
        <f>0.0578+0.065</f>
        <v>0.12279999999999999</v>
      </c>
    </row>
    <row r="51" spans="1:11" ht="15" customHeight="1" x14ac:dyDescent="0.2">
      <c r="A51" s="52" t="s">
        <v>45</v>
      </c>
      <c r="B51" s="59">
        <f>0.0139+0.125</f>
        <v>0.1389</v>
      </c>
      <c r="C51" s="59">
        <v>9.5899999999999999E-2</v>
      </c>
      <c r="D51" s="59">
        <v>6.9400000000000003E-2</v>
      </c>
      <c r="E51" s="61">
        <f>0.03+0.0659</f>
        <v>9.5899999999999999E-2</v>
      </c>
      <c r="F51" s="62" t="s">
        <v>54</v>
      </c>
      <c r="G51" s="61">
        <f>0.018+0.0362</f>
        <v>5.4199999999999998E-2</v>
      </c>
      <c r="H51" s="59">
        <f>0.0056+0.0281</f>
        <v>3.3700000000000001E-2</v>
      </c>
      <c r="I51" s="59">
        <f>0.0207+0.0496</f>
        <v>7.0300000000000001E-2</v>
      </c>
      <c r="J51" s="59">
        <f>0.0169+0.0621</f>
        <v>7.9000000000000001E-2</v>
      </c>
      <c r="K51" s="60">
        <f>0.0222+0.0568</f>
        <v>7.9000000000000001E-2</v>
      </c>
    </row>
    <row r="52" spans="1:11" ht="15" customHeight="1" x14ac:dyDescent="0.2">
      <c r="A52" s="52" t="s">
        <v>46</v>
      </c>
      <c r="B52" s="59">
        <f>0.0925+0.1782</f>
        <v>0.2707</v>
      </c>
      <c r="C52" s="59">
        <v>0.128</v>
      </c>
      <c r="D52" s="59">
        <f>0.0982+0.1745</f>
        <v>0.2727</v>
      </c>
      <c r="E52" s="59">
        <f>0.1123+0.1429</f>
        <v>0.25519999999999998</v>
      </c>
      <c r="F52" s="62" t="s">
        <v>54</v>
      </c>
      <c r="G52" s="59">
        <f>0.0603+0.0964</f>
        <v>0.15670000000000001</v>
      </c>
      <c r="H52" s="59">
        <f>0.0696+0.1117</f>
        <v>0.18129999999999999</v>
      </c>
      <c r="I52" s="59">
        <f>0.0779+0.1115</f>
        <v>0.18940000000000001</v>
      </c>
      <c r="J52" s="59">
        <f>0.1029+0.1377</f>
        <v>0.24059999999999998</v>
      </c>
      <c r="K52" s="60">
        <f>0.0918+0.1212</f>
        <v>0.21300000000000002</v>
      </c>
    </row>
    <row r="53" spans="1:11" ht="15" customHeight="1" x14ac:dyDescent="0.2">
      <c r="A53" s="51" t="s">
        <v>7</v>
      </c>
      <c r="B53" s="62" t="s">
        <v>54</v>
      </c>
      <c r="C53" s="62" t="s">
        <v>54</v>
      </c>
      <c r="D53" s="62">
        <v>0.25669999999999998</v>
      </c>
      <c r="E53" s="62">
        <v>0.31719999999999998</v>
      </c>
      <c r="F53" s="62" t="s">
        <v>54</v>
      </c>
      <c r="G53" s="62">
        <v>0.2974</v>
      </c>
      <c r="H53" s="62">
        <v>0.27200000000000002</v>
      </c>
      <c r="I53" s="62">
        <v>0.31190000000000001</v>
      </c>
      <c r="J53" s="62">
        <v>0.29139999999999999</v>
      </c>
      <c r="K53" s="63">
        <v>0.31859999999999999</v>
      </c>
    </row>
    <row r="54" spans="1:11" ht="15" customHeight="1" x14ac:dyDescent="0.2">
      <c r="A54" s="52" t="s">
        <v>44</v>
      </c>
      <c r="B54" s="62" t="s">
        <v>54</v>
      </c>
      <c r="C54" s="62" t="s">
        <v>54</v>
      </c>
      <c r="D54" s="59">
        <v>1.1900000000000001E-2</v>
      </c>
      <c r="E54" s="59">
        <v>0.1066</v>
      </c>
      <c r="F54" s="62" t="s">
        <v>54</v>
      </c>
      <c r="G54" s="59">
        <v>0.1099</v>
      </c>
      <c r="H54" s="59">
        <v>9.0999999999999998E-2</v>
      </c>
      <c r="I54" s="59">
        <v>0.11700000000000001</v>
      </c>
      <c r="J54" s="59">
        <v>4.2299999999999997E-2</v>
      </c>
      <c r="K54" s="60">
        <v>0.11840000000000001</v>
      </c>
    </row>
    <row r="55" spans="1:11" ht="15" customHeight="1" x14ac:dyDescent="0.2">
      <c r="A55" s="52" t="s">
        <v>45</v>
      </c>
      <c r="B55" s="62" t="s">
        <v>54</v>
      </c>
      <c r="C55" s="62" t="s">
        <v>54</v>
      </c>
      <c r="D55" s="59">
        <v>7.0000000000000001E-3</v>
      </c>
      <c r="E55" s="59">
        <f>0.0385</f>
        <v>3.85E-2</v>
      </c>
      <c r="F55" s="62" t="s">
        <v>54</v>
      </c>
      <c r="G55" s="59">
        <v>3.9199999999999999E-2</v>
      </c>
      <c r="H55" s="59">
        <v>3.3700000000000001E-2</v>
      </c>
      <c r="I55" s="59">
        <f>0.0443</f>
        <v>4.4299999999999999E-2</v>
      </c>
      <c r="J55" s="59">
        <v>2.2800000000000001E-2</v>
      </c>
      <c r="K55" s="60">
        <v>3.7499999999999999E-2</v>
      </c>
    </row>
    <row r="56" spans="1:11" ht="15" customHeight="1" x14ac:dyDescent="0.2">
      <c r="A56" s="52" t="s">
        <v>46</v>
      </c>
      <c r="B56" s="62" t="s">
        <v>54</v>
      </c>
      <c r="C56" s="62" t="s">
        <v>54</v>
      </c>
      <c r="D56" s="59">
        <v>0.19209999999999999</v>
      </c>
      <c r="E56" s="59">
        <v>0.1066</v>
      </c>
      <c r="F56" s="62" t="s">
        <v>54</v>
      </c>
      <c r="G56" s="59">
        <v>0.15179999999999999</v>
      </c>
      <c r="H56" s="59">
        <v>0.18909999999999999</v>
      </c>
      <c r="I56" s="59">
        <v>0.19009999999999999</v>
      </c>
      <c r="J56" s="59">
        <v>0.23330000000000001</v>
      </c>
      <c r="K56" s="60">
        <v>3.7499999999999999E-2</v>
      </c>
    </row>
    <row r="57" spans="1:11" ht="15" customHeight="1" x14ac:dyDescent="0.2">
      <c r="A57" s="51" t="s">
        <v>8</v>
      </c>
      <c r="B57" s="62" t="s">
        <v>54</v>
      </c>
      <c r="C57" s="62" t="s">
        <v>54</v>
      </c>
      <c r="D57" s="62" t="s">
        <v>54</v>
      </c>
      <c r="E57" s="62" t="s">
        <v>54</v>
      </c>
      <c r="F57" s="62" t="s">
        <v>54</v>
      </c>
      <c r="G57" s="62" t="s">
        <v>54</v>
      </c>
      <c r="H57" s="62" t="s">
        <v>54</v>
      </c>
      <c r="I57" s="62" t="s">
        <v>54</v>
      </c>
      <c r="J57" s="62" t="s">
        <v>54</v>
      </c>
      <c r="K57" s="62" t="s">
        <v>54</v>
      </c>
    </row>
    <row r="58" spans="1:11" ht="15" customHeight="1" x14ac:dyDescent="0.2">
      <c r="A58" s="52" t="s">
        <v>44</v>
      </c>
      <c r="B58" s="62" t="s">
        <v>54</v>
      </c>
      <c r="C58" s="62" t="s">
        <v>54</v>
      </c>
      <c r="D58" s="62" t="s">
        <v>54</v>
      </c>
      <c r="E58" s="62" t="s">
        <v>54</v>
      </c>
      <c r="F58" s="62" t="s">
        <v>54</v>
      </c>
      <c r="G58" s="62" t="s">
        <v>54</v>
      </c>
      <c r="H58" s="62" t="s">
        <v>54</v>
      </c>
      <c r="I58" s="62" t="s">
        <v>54</v>
      </c>
      <c r="J58" s="62" t="s">
        <v>54</v>
      </c>
      <c r="K58" s="62" t="s">
        <v>54</v>
      </c>
    </row>
    <row r="59" spans="1:11" ht="15" customHeight="1" x14ac:dyDescent="0.2">
      <c r="A59" s="52" t="s">
        <v>45</v>
      </c>
      <c r="B59" s="62" t="s">
        <v>54</v>
      </c>
      <c r="C59" s="62" t="s">
        <v>54</v>
      </c>
      <c r="D59" s="62" t="s">
        <v>54</v>
      </c>
      <c r="E59" s="62" t="s">
        <v>54</v>
      </c>
      <c r="F59" s="62" t="s">
        <v>54</v>
      </c>
      <c r="G59" s="62" t="s">
        <v>54</v>
      </c>
      <c r="H59" s="62" t="s">
        <v>54</v>
      </c>
      <c r="I59" s="62" t="s">
        <v>54</v>
      </c>
      <c r="J59" s="62" t="s">
        <v>54</v>
      </c>
      <c r="K59" s="62" t="s">
        <v>54</v>
      </c>
    </row>
    <row r="60" spans="1:11" ht="15" customHeight="1" x14ac:dyDescent="0.2">
      <c r="A60" s="52" t="s">
        <v>46</v>
      </c>
      <c r="B60" s="62" t="s">
        <v>54</v>
      </c>
      <c r="C60" s="62" t="s">
        <v>54</v>
      </c>
      <c r="D60" s="62" t="s">
        <v>54</v>
      </c>
      <c r="E60" s="62" t="s">
        <v>54</v>
      </c>
      <c r="F60" s="62" t="s">
        <v>54</v>
      </c>
      <c r="G60" s="62" t="s">
        <v>54</v>
      </c>
      <c r="H60" s="62" t="s">
        <v>54</v>
      </c>
      <c r="I60" s="62" t="s">
        <v>54</v>
      </c>
      <c r="J60" s="62" t="s">
        <v>54</v>
      </c>
      <c r="K60" s="62" t="s">
        <v>54</v>
      </c>
    </row>
  </sheetData>
  <mergeCells count="21">
    <mergeCell ref="A42:K42"/>
    <mergeCell ref="B43:C43"/>
    <mergeCell ref="D43:E43"/>
    <mergeCell ref="F43:G43"/>
    <mergeCell ref="H43:I43"/>
    <mergeCell ref="J43:K43"/>
    <mergeCell ref="A23:K23"/>
    <mergeCell ref="B24:C24"/>
    <mergeCell ref="D24:E24"/>
    <mergeCell ref="F24:G24"/>
    <mergeCell ref="H24:I24"/>
    <mergeCell ref="J24:K24"/>
    <mergeCell ref="A1:K1"/>
    <mergeCell ref="A2:K2"/>
    <mergeCell ref="A3:K3"/>
    <mergeCell ref="A4:K4"/>
    <mergeCell ref="B5:C5"/>
    <mergeCell ref="D5:E5"/>
    <mergeCell ref="F5:G5"/>
    <mergeCell ref="H5:I5"/>
    <mergeCell ref="J5:K5"/>
  </mergeCells>
  <printOptions horizontalCentered="1"/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1103C-8643-4491-B420-1531EAE8B441}">
  <sheetPr>
    <pageSetUpPr fitToPage="1"/>
  </sheetPr>
  <dimension ref="A1:K60"/>
  <sheetViews>
    <sheetView topLeftCell="A12" zoomScale="163" zoomScaleNormal="202" workbookViewId="0">
      <selection activeCell="B52" sqref="B52"/>
    </sheetView>
  </sheetViews>
  <sheetFormatPr baseColWidth="10" defaultColWidth="14.5" defaultRowHeight="15" customHeight="1" x14ac:dyDescent="0.2"/>
  <cols>
    <col min="1" max="12" width="11.6640625" customWidth="1"/>
  </cols>
  <sheetData>
    <row r="1" spans="1:11" ht="15" customHeight="1" x14ac:dyDescent="0.2">
      <c r="A1" s="106" t="s">
        <v>43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 ht="15" customHeight="1" x14ac:dyDescent="0.2">
      <c r="A2" s="109" t="s">
        <v>55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ht="15" customHeight="1" thickBot="1" x14ac:dyDescent="0.25">
      <c r="A3" s="112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15" customHeight="1" thickBot="1" x14ac:dyDescent="0.25">
      <c r="A4" s="115" t="s">
        <v>11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ht="15" customHeight="1" x14ac:dyDescent="0.2">
      <c r="A5" s="49"/>
      <c r="B5" s="118" t="s">
        <v>51</v>
      </c>
      <c r="C5" s="119"/>
      <c r="D5" s="118" t="s">
        <v>50</v>
      </c>
      <c r="E5" s="119"/>
      <c r="F5" s="118" t="s">
        <v>52</v>
      </c>
      <c r="G5" s="119"/>
      <c r="H5" s="118" t="s">
        <v>49</v>
      </c>
      <c r="I5" s="119"/>
      <c r="J5" s="120" t="s">
        <v>48</v>
      </c>
      <c r="K5" s="121"/>
    </row>
    <row r="6" spans="1:11" ht="15" customHeight="1" x14ac:dyDescent="0.2">
      <c r="A6" s="50" t="s">
        <v>2</v>
      </c>
      <c r="B6" s="55" t="s">
        <v>33</v>
      </c>
      <c r="C6" s="57" t="s">
        <v>4</v>
      </c>
      <c r="D6" s="57" t="s">
        <v>33</v>
      </c>
      <c r="E6" s="57" t="s">
        <v>4</v>
      </c>
      <c r="F6" s="57" t="s">
        <v>33</v>
      </c>
      <c r="G6" s="57" t="s">
        <v>4</v>
      </c>
      <c r="H6" s="57" t="s">
        <v>33</v>
      </c>
      <c r="I6" s="57" t="s">
        <v>4</v>
      </c>
      <c r="J6" s="57" t="s">
        <v>33</v>
      </c>
      <c r="K6" s="58" t="s">
        <v>4</v>
      </c>
    </row>
    <row r="7" spans="1:11" ht="15" customHeight="1" x14ac:dyDescent="0.2">
      <c r="A7" s="51" t="s">
        <v>5</v>
      </c>
      <c r="B7" s="59">
        <f>0.1451+0.3677</f>
        <v>0.51280000000000003</v>
      </c>
      <c r="C7" s="59">
        <f>0.1726+0.3058</f>
        <v>0.47840000000000005</v>
      </c>
      <c r="D7" s="59">
        <f>0.1736+0.3564</f>
        <v>0.53</v>
      </c>
      <c r="E7" s="59">
        <f>0.1885+0.3116</f>
        <v>0.50009999999999999</v>
      </c>
      <c r="F7" s="62" t="s">
        <v>54</v>
      </c>
      <c r="G7" s="59">
        <f>0.162+0.2737</f>
        <v>0.43569999999999998</v>
      </c>
      <c r="H7" s="59">
        <f>0.16+0.34</f>
        <v>0.5</v>
      </c>
      <c r="I7" s="59">
        <f>0.1706+0.2805</f>
        <v>0.45110000000000006</v>
      </c>
      <c r="J7" s="59">
        <f>0.1598+0.3185</f>
        <v>0.4783</v>
      </c>
      <c r="K7" s="60">
        <f>0.1692+0.2725</f>
        <v>0.44169999999999998</v>
      </c>
    </row>
    <row r="8" spans="1:11" ht="15" customHeight="1" x14ac:dyDescent="0.2">
      <c r="A8" s="52" t="s">
        <v>44</v>
      </c>
      <c r="B8" s="59">
        <f>0.0351+0.0351</f>
        <v>7.0199999999999999E-2</v>
      </c>
      <c r="C8" s="59">
        <f>0.0293+0.0945</f>
        <v>0.12379999999999999</v>
      </c>
      <c r="D8" s="59">
        <f>0.0313+0.0469</f>
        <v>7.8199999999999992E-2</v>
      </c>
      <c r="E8" s="59">
        <f>0.0316+0.1033</f>
        <v>0.13490000000000002</v>
      </c>
      <c r="F8" s="62" t="s">
        <v>54</v>
      </c>
      <c r="G8" s="59">
        <f>0.0302+0.0896</f>
        <v>0.1198</v>
      </c>
      <c r="H8" s="59">
        <f>0.1538+0.0154</f>
        <v>0.16919999999999999</v>
      </c>
      <c r="I8" s="59">
        <f>0.0316+0.0934</f>
        <v>0.125</v>
      </c>
      <c r="J8" s="61">
        <f>0.0167+0.0667</f>
        <v>8.3400000000000002E-2</v>
      </c>
      <c r="K8" s="60">
        <f>0.0332+0.0934</f>
        <v>0.12659999999999999</v>
      </c>
    </row>
    <row r="9" spans="1:11" ht="15" customHeight="1" x14ac:dyDescent="0.2">
      <c r="A9" s="52" t="s">
        <v>45</v>
      </c>
      <c r="B9" s="59">
        <v>0.05</v>
      </c>
      <c r="C9" s="59">
        <f>0.0064+0.0846</f>
        <v>9.0999999999999998E-2</v>
      </c>
      <c r="D9" s="59">
        <v>0.09</v>
      </c>
      <c r="E9" s="59">
        <f>0.0066+0.0884</f>
        <v>9.5000000000000001E-2</v>
      </c>
      <c r="F9" s="62" t="s">
        <v>54</v>
      </c>
      <c r="G9" s="66">
        <f>0.0076+0.0812</f>
        <v>8.879999999999999E-2</v>
      </c>
      <c r="H9" s="59">
        <f>0.0172+0.1379</f>
        <v>0.15509999999999999</v>
      </c>
      <c r="I9" s="59">
        <f>0.0067+0.0842</f>
        <v>9.0899999999999995E-2</v>
      </c>
      <c r="J9" s="59">
        <v>0.12</v>
      </c>
      <c r="K9" s="60">
        <f>0.054+0.0747</f>
        <v>0.12870000000000001</v>
      </c>
    </row>
    <row r="10" spans="1:11" ht="15" customHeight="1" x14ac:dyDescent="0.2">
      <c r="A10" s="52" t="s">
        <v>46</v>
      </c>
      <c r="B10" s="59">
        <f>0.0945+0.3509</f>
        <v>0.44540000000000002</v>
      </c>
      <c r="C10" s="59">
        <f>0.0867+0.2678</f>
        <v>0.35449999999999998</v>
      </c>
      <c r="D10" s="59">
        <f>0.1209+0.3468</f>
        <v>0.4677</v>
      </c>
      <c r="E10" s="59">
        <f>0.101+0.2778</f>
        <v>0.37880000000000003</v>
      </c>
      <c r="F10" s="62" t="s">
        <v>54</v>
      </c>
      <c r="G10" s="59">
        <f>0.0609+0.1146</f>
        <v>0.17549999999999999</v>
      </c>
      <c r="H10" s="59">
        <f>0.1184+0.2951</f>
        <v>0.41349999999999998</v>
      </c>
      <c r="I10" s="59">
        <f>0.0924+0.2425</f>
        <v>0.33489999999999998</v>
      </c>
      <c r="J10" s="59">
        <f>0.1172+0.3026</f>
        <v>0.41979999999999995</v>
      </c>
      <c r="K10" s="60">
        <f>0.0924+0.2351</f>
        <v>0.32750000000000001</v>
      </c>
    </row>
    <row r="11" spans="1:11" ht="15" customHeight="1" x14ac:dyDescent="0.2">
      <c r="A11" s="51" t="s">
        <v>6</v>
      </c>
      <c r="B11" s="62">
        <f>0.1922+0.223</f>
        <v>0.41520000000000001</v>
      </c>
      <c r="C11" s="62">
        <f>0.1886+0.1864</f>
        <v>0.375</v>
      </c>
      <c r="D11" s="62">
        <f>0.195+0.23</f>
        <v>0.42500000000000004</v>
      </c>
      <c r="E11" s="62">
        <f>0.199+0.1862</f>
        <v>0.38519999999999999</v>
      </c>
      <c r="F11" s="62" t="s">
        <v>54</v>
      </c>
      <c r="G11" s="62">
        <f>0.1509+0.1567</f>
        <v>0.30759999999999998</v>
      </c>
      <c r="H11" s="62">
        <f>0.1631+0.1733</f>
        <v>0.33640000000000003</v>
      </c>
      <c r="I11" s="62">
        <f>0.1644+0.1602</f>
        <v>0.3246</v>
      </c>
      <c r="J11" s="62">
        <f>0.1714+0.1626</f>
        <v>0.33399999999999996</v>
      </c>
      <c r="K11" s="63">
        <f>0.1735+0.1584</f>
        <v>0.33189999999999997</v>
      </c>
    </row>
    <row r="12" spans="1:11" ht="15" customHeight="1" x14ac:dyDescent="0.2">
      <c r="A12" s="52" t="s">
        <v>44</v>
      </c>
      <c r="B12" s="59">
        <f>0.0351+0.0526</f>
        <v>8.77E-2</v>
      </c>
      <c r="C12" s="59">
        <f>0.0374+0.0562</f>
        <v>9.3600000000000003E-2</v>
      </c>
      <c r="D12" s="59">
        <f>0.0781+0.0625</f>
        <v>0.1406</v>
      </c>
      <c r="E12" s="59">
        <f>0.0403+0.0561</f>
        <v>9.64E-2</v>
      </c>
      <c r="F12" s="62" t="s">
        <v>54</v>
      </c>
      <c r="G12" s="59">
        <f>0.0387+0.0507</f>
        <v>8.9400000000000007E-2</v>
      </c>
      <c r="H12" s="59">
        <v>0.06</v>
      </c>
      <c r="I12" s="59">
        <f>0.0393+0.0544</f>
        <v>9.3700000000000006E-2</v>
      </c>
      <c r="J12" s="61">
        <f>0.0167+0.0667</f>
        <v>8.3400000000000002E-2</v>
      </c>
      <c r="K12" s="60">
        <f>0.0422+0.0562</f>
        <v>9.8400000000000001E-2</v>
      </c>
    </row>
    <row r="13" spans="1:11" ht="15" customHeight="1" x14ac:dyDescent="0.2">
      <c r="A13" s="52" t="s">
        <v>45</v>
      </c>
      <c r="B13" s="59">
        <v>0.06</v>
      </c>
      <c r="C13" s="59">
        <f>0.0209+0.0528</f>
        <v>7.3700000000000002E-2</v>
      </c>
      <c r="D13" s="59">
        <f>0.0157+0.0551</f>
        <v>7.0800000000000002E-2</v>
      </c>
      <c r="E13" s="59">
        <f>0.0208+0.0542</f>
        <v>7.4999999999999997E-2</v>
      </c>
      <c r="F13" s="62" t="s">
        <v>54</v>
      </c>
      <c r="G13" s="59">
        <f>0.0151+0.0401</f>
        <v>5.5199999999999999E-2</v>
      </c>
      <c r="H13" s="59">
        <f>0.0259+0.0517</f>
        <v>7.7600000000000002E-2</v>
      </c>
      <c r="I13" s="59">
        <f>0.0152+0.0426</f>
        <v>5.7799999999999997E-2</v>
      </c>
      <c r="J13" s="59">
        <v>0.87</v>
      </c>
      <c r="K13" s="60">
        <f>0.0149+0.043</f>
        <v>5.7899999999999993E-2</v>
      </c>
    </row>
    <row r="14" spans="1:11" ht="15" customHeight="1" x14ac:dyDescent="0.2">
      <c r="A14" s="52" t="s">
        <v>46</v>
      </c>
      <c r="B14" s="59">
        <f>0.1388+0.2116</f>
        <v>0.35040000000000004</v>
      </c>
      <c r="C14" s="59">
        <f>0.0934+0.1534</f>
        <v>0.24680000000000002</v>
      </c>
      <c r="D14" s="59">
        <f>0.1494+0.2098</f>
        <v>0.35919999999999996</v>
      </c>
      <c r="E14" s="59">
        <f>0.1026+0.1573</f>
        <v>0.25990000000000002</v>
      </c>
      <c r="F14" s="62" t="s">
        <v>54</v>
      </c>
      <c r="G14" s="59">
        <f>0.0761+0.2214</f>
        <v>0.29749999999999999</v>
      </c>
      <c r="H14" s="59">
        <f>0.105+0.1485</f>
        <v>0.2535</v>
      </c>
      <c r="I14" s="59">
        <f>0.0784+0.1268</f>
        <v>0.20519999999999999</v>
      </c>
      <c r="J14" s="59">
        <f>0.1327+0.1466</f>
        <v>0.27929999999999999</v>
      </c>
      <c r="K14" s="60">
        <f>0.088+0.1279</f>
        <v>0.21590000000000001</v>
      </c>
    </row>
    <row r="15" spans="1:11" ht="15" customHeight="1" x14ac:dyDescent="0.2">
      <c r="A15" s="51" t="s">
        <v>7</v>
      </c>
      <c r="B15" s="62" t="s">
        <v>54</v>
      </c>
      <c r="C15" s="62" t="s">
        <v>54</v>
      </c>
      <c r="D15" s="62" t="s">
        <v>54</v>
      </c>
      <c r="E15" s="62" t="s">
        <v>54</v>
      </c>
      <c r="F15" s="62" t="s">
        <v>54</v>
      </c>
      <c r="G15" s="62" t="s">
        <v>54</v>
      </c>
      <c r="H15" s="62" t="s">
        <v>54</v>
      </c>
      <c r="I15" s="62" t="s">
        <v>54</v>
      </c>
      <c r="J15" s="62" t="s">
        <v>54</v>
      </c>
      <c r="K15" s="62" t="s">
        <v>54</v>
      </c>
    </row>
    <row r="16" spans="1:11" ht="15" customHeight="1" x14ac:dyDescent="0.2">
      <c r="A16" s="52" t="s">
        <v>44</v>
      </c>
      <c r="B16" s="62" t="s">
        <v>54</v>
      </c>
      <c r="C16" s="62" t="s">
        <v>54</v>
      </c>
      <c r="D16" s="62" t="s">
        <v>54</v>
      </c>
      <c r="E16" s="62" t="s">
        <v>54</v>
      </c>
      <c r="F16" s="62" t="s">
        <v>54</v>
      </c>
      <c r="G16" s="62" t="s">
        <v>54</v>
      </c>
      <c r="H16" s="62" t="s">
        <v>54</v>
      </c>
      <c r="I16" s="62" t="s">
        <v>54</v>
      </c>
      <c r="J16" s="62" t="s">
        <v>54</v>
      </c>
      <c r="K16" s="62" t="s">
        <v>54</v>
      </c>
    </row>
    <row r="17" spans="1:11" ht="15" customHeight="1" x14ac:dyDescent="0.2">
      <c r="A17" s="52" t="s">
        <v>45</v>
      </c>
      <c r="B17" s="62" t="s">
        <v>54</v>
      </c>
      <c r="C17" s="62" t="s">
        <v>54</v>
      </c>
      <c r="D17" s="62" t="s">
        <v>54</v>
      </c>
      <c r="E17" s="62" t="s">
        <v>54</v>
      </c>
      <c r="F17" s="62" t="s">
        <v>54</v>
      </c>
      <c r="G17" s="62" t="s">
        <v>54</v>
      </c>
      <c r="H17" s="62" t="s">
        <v>54</v>
      </c>
      <c r="I17" s="62" t="s">
        <v>54</v>
      </c>
      <c r="J17" s="62" t="s">
        <v>54</v>
      </c>
      <c r="K17" s="62" t="s">
        <v>54</v>
      </c>
    </row>
    <row r="18" spans="1:11" ht="15" customHeight="1" x14ac:dyDescent="0.2">
      <c r="A18" s="52" t="s">
        <v>46</v>
      </c>
      <c r="B18" s="62" t="s">
        <v>54</v>
      </c>
      <c r="C18" s="62" t="s">
        <v>54</v>
      </c>
      <c r="D18" s="62" t="s">
        <v>54</v>
      </c>
      <c r="E18" s="62" t="s">
        <v>54</v>
      </c>
      <c r="F18" s="62" t="s">
        <v>54</v>
      </c>
      <c r="G18" s="62" t="s">
        <v>54</v>
      </c>
      <c r="H18" s="62" t="s">
        <v>54</v>
      </c>
      <c r="I18" s="62" t="s">
        <v>54</v>
      </c>
      <c r="J18" s="62" t="s">
        <v>54</v>
      </c>
      <c r="K18" s="62" t="s">
        <v>54</v>
      </c>
    </row>
    <row r="19" spans="1:11" ht="15" customHeight="1" x14ac:dyDescent="0.2">
      <c r="A19" s="51" t="s">
        <v>8</v>
      </c>
      <c r="B19" s="62" t="s">
        <v>54</v>
      </c>
      <c r="C19" s="62" t="s">
        <v>54</v>
      </c>
      <c r="D19" s="62" t="s">
        <v>54</v>
      </c>
      <c r="E19" s="62" t="s">
        <v>54</v>
      </c>
      <c r="F19" s="62" t="s">
        <v>54</v>
      </c>
      <c r="G19" s="62" t="s">
        <v>54</v>
      </c>
      <c r="H19" s="62" t="s">
        <v>54</v>
      </c>
      <c r="I19" s="62" t="s">
        <v>54</v>
      </c>
      <c r="J19" s="62" t="s">
        <v>54</v>
      </c>
      <c r="K19" s="62" t="s">
        <v>54</v>
      </c>
    </row>
    <row r="20" spans="1:11" ht="15" customHeight="1" x14ac:dyDescent="0.2">
      <c r="A20" s="52" t="s">
        <v>44</v>
      </c>
      <c r="B20" s="62" t="s">
        <v>54</v>
      </c>
      <c r="C20" s="62" t="s">
        <v>54</v>
      </c>
      <c r="D20" s="62" t="s">
        <v>54</v>
      </c>
      <c r="E20" s="62" t="s">
        <v>54</v>
      </c>
      <c r="F20" s="62" t="s">
        <v>54</v>
      </c>
      <c r="G20" s="62" t="s">
        <v>54</v>
      </c>
      <c r="H20" s="62" t="s">
        <v>54</v>
      </c>
      <c r="I20" s="62" t="s">
        <v>54</v>
      </c>
      <c r="J20" s="62" t="s">
        <v>54</v>
      </c>
      <c r="K20" s="62" t="s">
        <v>54</v>
      </c>
    </row>
    <row r="21" spans="1:11" ht="15" customHeight="1" x14ac:dyDescent="0.2">
      <c r="A21" s="52" t="s">
        <v>45</v>
      </c>
      <c r="B21" s="62" t="s">
        <v>54</v>
      </c>
      <c r="C21" s="62" t="s">
        <v>54</v>
      </c>
      <c r="D21" s="62" t="s">
        <v>54</v>
      </c>
      <c r="E21" s="62" t="s">
        <v>54</v>
      </c>
      <c r="F21" s="62" t="s">
        <v>54</v>
      </c>
      <c r="G21" s="62" t="s">
        <v>54</v>
      </c>
      <c r="H21" s="62" t="s">
        <v>54</v>
      </c>
      <c r="I21" s="62" t="s">
        <v>54</v>
      </c>
      <c r="J21" s="62" t="s">
        <v>54</v>
      </c>
      <c r="K21" s="62" t="s">
        <v>54</v>
      </c>
    </row>
    <row r="22" spans="1:11" ht="15" customHeight="1" thickBot="1" x14ac:dyDescent="0.25">
      <c r="A22" s="52" t="s">
        <v>46</v>
      </c>
      <c r="B22" s="62" t="s">
        <v>54</v>
      </c>
      <c r="C22" s="62" t="s">
        <v>54</v>
      </c>
      <c r="D22" s="62" t="s">
        <v>54</v>
      </c>
      <c r="E22" s="62" t="s">
        <v>54</v>
      </c>
      <c r="F22" s="62" t="s">
        <v>54</v>
      </c>
      <c r="G22" s="62" t="s">
        <v>54</v>
      </c>
      <c r="H22" s="62" t="s">
        <v>54</v>
      </c>
      <c r="I22" s="62" t="s">
        <v>54</v>
      </c>
      <c r="J22" s="62" t="s">
        <v>54</v>
      </c>
      <c r="K22" s="62" t="s">
        <v>54</v>
      </c>
    </row>
    <row r="23" spans="1:11" ht="15" customHeight="1" thickBot="1" x14ac:dyDescent="0.25">
      <c r="A23" s="122" t="s">
        <v>12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7"/>
    </row>
    <row r="24" spans="1:11" ht="15" customHeight="1" x14ac:dyDescent="0.2">
      <c r="A24" s="49"/>
      <c r="B24" s="118" t="s">
        <v>51</v>
      </c>
      <c r="C24" s="119"/>
      <c r="D24" s="118" t="s">
        <v>50</v>
      </c>
      <c r="E24" s="119"/>
      <c r="F24" s="118" t="s">
        <v>52</v>
      </c>
      <c r="G24" s="119"/>
      <c r="H24" s="118" t="s">
        <v>49</v>
      </c>
      <c r="I24" s="119"/>
      <c r="J24" s="120" t="s">
        <v>48</v>
      </c>
      <c r="K24" s="121"/>
    </row>
    <row r="25" spans="1:11" ht="15" customHeight="1" x14ac:dyDescent="0.2">
      <c r="A25" s="50" t="s">
        <v>2</v>
      </c>
      <c r="B25" s="55" t="s">
        <v>33</v>
      </c>
      <c r="C25" s="57" t="s">
        <v>4</v>
      </c>
      <c r="D25" s="57" t="s">
        <v>33</v>
      </c>
      <c r="E25" s="57" t="s">
        <v>4</v>
      </c>
      <c r="F25" s="57" t="s">
        <v>33</v>
      </c>
      <c r="G25" s="57" t="s">
        <v>4</v>
      </c>
      <c r="H25" s="57" t="s">
        <v>33</v>
      </c>
      <c r="I25" s="57" t="s">
        <v>4</v>
      </c>
      <c r="J25" s="57" t="s">
        <v>33</v>
      </c>
      <c r="K25" s="58" t="s">
        <v>4</v>
      </c>
    </row>
    <row r="26" spans="1:11" ht="15" customHeight="1" x14ac:dyDescent="0.2">
      <c r="A26" s="51" t="s">
        <v>5</v>
      </c>
      <c r="B26" s="59">
        <f>0.1121+0.352</f>
        <v>0.46409999999999996</v>
      </c>
      <c r="C26" s="59">
        <f>0.1632+0.3383</f>
        <v>0.50150000000000006</v>
      </c>
      <c r="D26" s="59">
        <f>0.1581+0.3372</f>
        <v>0.49529999999999996</v>
      </c>
      <c r="E26" s="59">
        <f>0.1817+0.332</f>
        <v>0.51370000000000005</v>
      </c>
      <c r="F26" s="62" t="s">
        <v>54</v>
      </c>
      <c r="G26" s="59">
        <f>0.168+0.3315</f>
        <v>0.49950000000000006</v>
      </c>
      <c r="H26" s="59">
        <f>0.1404+0.3537</f>
        <v>0.49409999999999998</v>
      </c>
      <c r="I26" s="59">
        <f>0.1747+0.3175</f>
        <v>0.49219999999999997</v>
      </c>
      <c r="J26" s="59">
        <f>0.1195+0.3514</f>
        <v>0.47089999999999999</v>
      </c>
      <c r="K26" s="60">
        <f>0.1693+0.3051</f>
        <v>0.47439999999999999</v>
      </c>
    </row>
    <row r="27" spans="1:11" ht="15" customHeight="1" x14ac:dyDescent="0.2">
      <c r="A27" s="52" t="s">
        <v>44</v>
      </c>
      <c r="B27" s="59">
        <f>0.0141+0.042</f>
        <v>5.6100000000000004E-2</v>
      </c>
      <c r="C27" s="59">
        <f>0.0221+0.1019</f>
        <v>0.124</v>
      </c>
      <c r="D27" s="59">
        <f>0.0164+0.0656</f>
        <v>8.2000000000000003E-2</v>
      </c>
      <c r="E27" s="59">
        <f>0.0281+0.1122</f>
        <v>0.14029999999999998</v>
      </c>
      <c r="F27" s="62" t="s">
        <v>54</v>
      </c>
      <c r="G27" s="59">
        <f>0.0251+0.109</f>
        <v>0.1341</v>
      </c>
      <c r="H27" s="59">
        <v>0.08</v>
      </c>
      <c r="I27" s="59">
        <f>0.029+0.1116</f>
        <v>0.1406</v>
      </c>
      <c r="J27" s="59">
        <v>0.17</v>
      </c>
      <c r="K27" s="60">
        <f>0.0292+0.1077</f>
        <v>0.13689999999999999</v>
      </c>
    </row>
    <row r="28" spans="1:11" ht="15" customHeight="1" x14ac:dyDescent="0.2">
      <c r="A28" s="52" t="s">
        <v>45</v>
      </c>
      <c r="B28" s="59">
        <v>0.06</v>
      </c>
      <c r="C28" s="59">
        <f>0.0044+0.0736</f>
        <v>7.8E-2</v>
      </c>
      <c r="D28" s="59">
        <v>0.1</v>
      </c>
      <c r="E28" s="59">
        <f>0.0053+0.0863</f>
        <v>9.1600000000000001E-2</v>
      </c>
      <c r="F28" s="62" t="s">
        <v>54</v>
      </c>
      <c r="G28" s="59">
        <f>0.0047+0.0992</f>
        <v>0.10389999999999999</v>
      </c>
      <c r="H28" s="59">
        <v>0.1</v>
      </c>
      <c r="I28" s="59">
        <f>0.0049+0.0987</f>
        <v>0.1036</v>
      </c>
      <c r="J28" s="59">
        <v>0.13</v>
      </c>
      <c r="K28" s="60">
        <f>0.0034+0.0751</f>
        <v>7.85E-2</v>
      </c>
    </row>
    <row r="29" spans="1:11" ht="15" customHeight="1" x14ac:dyDescent="0.2">
      <c r="A29" s="52" t="s">
        <v>46</v>
      </c>
      <c r="B29" s="59">
        <f>0.33+0.0775</f>
        <v>0.40750000000000003</v>
      </c>
      <c r="C29" s="59">
        <f>0.0794+0.2943</f>
        <v>0.37370000000000003</v>
      </c>
      <c r="D29" s="59">
        <f>0.1363+0.1945</f>
        <v>0.33079999999999998</v>
      </c>
      <c r="E29" s="59">
        <f>0.0949+0.2962</f>
        <v>0.3911</v>
      </c>
      <c r="F29" s="62" t="s">
        <v>54</v>
      </c>
      <c r="G29" s="59">
        <f>0.0839+0.2812</f>
        <v>0.36509999999999998</v>
      </c>
      <c r="H29" s="59">
        <f>0.09+0.32</f>
        <v>0.41000000000000003</v>
      </c>
      <c r="I29" s="59">
        <f>0.0703+0.1278</f>
        <v>0.1981</v>
      </c>
      <c r="J29" s="59">
        <f>0.0826+0.3123</f>
        <v>0.39490000000000003</v>
      </c>
      <c r="K29" s="60">
        <f>0.0915+0.2673</f>
        <v>0.35880000000000001</v>
      </c>
    </row>
    <row r="30" spans="1:11" ht="15" customHeight="1" x14ac:dyDescent="0.2">
      <c r="A30" s="51" t="s">
        <v>6</v>
      </c>
      <c r="B30" s="62">
        <f>0.1649+0.2355</f>
        <v>0.40039999999999998</v>
      </c>
      <c r="C30" s="62">
        <f>0.1869+0.1861</f>
        <v>0.373</v>
      </c>
      <c r="D30" s="62">
        <f>0.1885+0.223</f>
        <v>0.41149999999999998</v>
      </c>
      <c r="E30" s="62">
        <f>0.1937+0.1847</f>
        <v>0.37840000000000001</v>
      </c>
      <c r="F30" s="62" t="s">
        <v>54</v>
      </c>
      <c r="G30" s="61">
        <f>0.1634+0.1809</f>
        <v>0.34429999999999999</v>
      </c>
      <c r="H30" s="62">
        <f>0.1215+0.1779</f>
        <v>0.2994</v>
      </c>
      <c r="I30" s="62">
        <f>0.1555+0.1649</f>
        <v>0.32040000000000002</v>
      </c>
      <c r="J30" s="62">
        <f>0.1251+0.1603</f>
        <v>0.28539999999999999</v>
      </c>
      <c r="K30" s="63">
        <f>0.1692+0.1625</f>
        <v>0.33169999999999999</v>
      </c>
    </row>
    <row r="31" spans="1:11" ht="15" customHeight="1" x14ac:dyDescent="0.2">
      <c r="A31" s="52" t="s">
        <v>44</v>
      </c>
      <c r="B31" s="59">
        <f>0.0143+0.0286</f>
        <v>4.2900000000000001E-2</v>
      </c>
      <c r="C31" s="59">
        <f>0.032+0.0545</f>
        <v>8.6499999999999994E-2</v>
      </c>
      <c r="D31" s="59">
        <f>0.0164+0.0984</f>
        <v>0.1148</v>
      </c>
      <c r="E31" s="59">
        <f>0.0362+0.055</f>
        <v>9.1200000000000003E-2</v>
      </c>
      <c r="F31" s="62" t="s">
        <v>54</v>
      </c>
      <c r="G31" s="59">
        <f>0.0313+0.0574</f>
        <v>8.8700000000000001E-2</v>
      </c>
      <c r="H31" s="59">
        <f>0.0213+0.0638</f>
        <v>8.5099999999999995E-2</v>
      </c>
      <c r="I31" s="59">
        <f>0.031+0.0507</f>
        <v>8.1699999999999995E-2</v>
      </c>
      <c r="J31" s="59">
        <f>0.0339+0.0339</f>
        <v>6.7799999999999999E-2</v>
      </c>
      <c r="K31" s="60">
        <f>0.0361+0.055</f>
        <v>9.11E-2</v>
      </c>
    </row>
    <row r="32" spans="1:11" ht="15" customHeight="1" x14ac:dyDescent="0.2">
      <c r="A32" s="52" t="s">
        <v>45</v>
      </c>
      <c r="B32" s="59">
        <f>0.0109+0.0326</f>
        <v>4.3499999999999997E-2</v>
      </c>
      <c r="C32" s="59">
        <f>0.0207+0.0471</f>
        <v>6.7799999999999999E-2</v>
      </c>
      <c r="D32" s="59">
        <v>0.08</v>
      </c>
      <c r="E32" s="59">
        <f>0.0203+0.0497</f>
        <v>7.0000000000000007E-2</v>
      </c>
      <c r="F32" s="62" t="s">
        <v>54</v>
      </c>
      <c r="G32" s="59">
        <f>0.0134+0.0413</f>
        <v>5.4700000000000006E-2</v>
      </c>
      <c r="H32" s="59">
        <v>0.03</v>
      </c>
      <c r="I32" s="59">
        <f>0.0116+0.0377</f>
        <v>4.9299999999999997E-2</v>
      </c>
      <c r="J32" s="59">
        <v>0.03</v>
      </c>
      <c r="K32" s="60">
        <f>0.0128+0.0371</f>
        <v>4.99E-2</v>
      </c>
    </row>
    <row r="33" spans="1:11" ht="15" customHeight="1" x14ac:dyDescent="0.2">
      <c r="A33" s="52" t="s">
        <v>46</v>
      </c>
      <c r="B33" s="59">
        <f>0.1383+0.2172</f>
        <v>0.35550000000000004</v>
      </c>
      <c r="C33" s="59">
        <f>0.0891+0.1521</f>
        <v>0.24120000000000003</v>
      </c>
      <c r="D33" s="59">
        <f>0.16363+0.1945</f>
        <v>0.35813</v>
      </c>
      <c r="E33" s="59">
        <f>0.0959+0.1525</f>
        <v>0.24840000000000001</v>
      </c>
      <c r="F33" s="62" t="s">
        <v>54</v>
      </c>
      <c r="G33" s="59">
        <f>0.0697+0.1388</f>
        <v>0.20850000000000002</v>
      </c>
      <c r="H33" s="59">
        <f>0.0738+0.1332</f>
        <v>0.20700000000000002</v>
      </c>
      <c r="I33" s="59">
        <f>0.0938+0.2803</f>
        <v>0.37409999999999999</v>
      </c>
      <c r="J33" s="59">
        <f>0.0813+0.1349</f>
        <v>0.2162</v>
      </c>
      <c r="K33" s="60">
        <f>0.0821+0.1301</f>
        <v>0.2122</v>
      </c>
    </row>
    <row r="34" spans="1:11" ht="15" customHeight="1" x14ac:dyDescent="0.2">
      <c r="A34" s="51" t="s">
        <v>7</v>
      </c>
      <c r="B34" s="62" t="s">
        <v>54</v>
      </c>
      <c r="C34" s="62" t="s">
        <v>54</v>
      </c>
      <c r="D34" s="62" t="s">
        <v>54</v>
      </c>
      <c r="E34" s="62" t="s">
        <v>54</v>
      </c>
      <c r="F34" s="62" t="s">
        <v>54</v>
      </c>
      <c r="G34" s="62" t="s">
        <v>54</v>
      </c>
      <c r="H34" s="62" t="s">
        <v>54</v>
      </c>
      <c r="I34" s="62" t="s">
        <v>54</v>
      </c>
      <c r="J34" s="62" t="s">
        <v>54</v>
      </c>
      <c r="K34" s="62" t="s">
        <v>54</v>
      </c>
    </row>
    <row r="35" spans="1:11" ht="15" customHeight="1" x14ac:dyDescent="0.2">
      <c r="A35" s="52" t="s">
        <v>44</v>
      </c>
      <c r="B35" s="62" t="s">
        <v>54</v>
      </c>
      <c r="C35" s="62" t="s">
        <v>54</v>
      </c>
      <c r="D35" s="62" t="s">
        <v>54</v>
      </c>
      <c r="E35" s="62" t="s">
        <v>54</v>
      </c>
      <c r="F35" s="62" t="s">
        <v>54</v>
      </c>
      <c r="G35" s="62" t="s">
        <v>54</v>
      </c>
      <c r="H35" s="62" t="s">
        <v>54</v>
      </c>
      <c r="I35" s="62" t="s">
        <v>54</v>
      </c>
      <c r="J35" s="62" t="s">
        <v>54</v>
      </c>
      <c r="K35" s="62" t="s">
        <v>54</v>
      </c>
    </row>
    <row r="36" spans="1:11" ht="15" customHeight="1" x14ac:dyDescent="0.2">
      <c r="A36" s="52" t="s">
        <v>45</v>
      </c>
      <c r="B36" s="62" t="s">
        <v>54</v>
      </c>
      <c r="C36" s="62" t="s">
        <v>54</v>
      </c>
      <c r="D36" s="62" t="s">
        <v>54</v>
      </c>
      <c r="E36" s="62" t="s">
        <v>54</v>
      </c>
      <c r="F36" s="62" t="s">
        <v>54</v>
      </c>
      <c r="G36" s="62" t="s">
        <v>54</v>
      </c>
      <c r="H36" s="62" t="s">
        <v>54</v>
      </c>
      <c r="I36" s="62" t="s">
        <v>54</v>
      </c>
      <c r="J36" s="62" t="s">
        <v>54</v>
      </c>
      <c r="K36" s="62" t="s">
        <v>54</v>
      </c>
    </row>
    <row r="37" spans="1:11" ht="15" customHeight="1" x14ac:dyDescent="0.2">
      <c r="A37" s="52" t="s">
        <v>46</v>
      </c>
      <c r="B37" s="62" t="s">
        <v>54</v>
      </c>
      <c r="C37" s="62" t="s">
        <v>54</v>
      </c>
      <c r="D37" s="62" t="s">
        <v>54</v>
      </c>
      <c r="E37" s="62" t="s">
        <v>54</v>
      </c>
      <c r="F37" s="62" t="s">
        <v>54</v>
      </c>
      <c r="G37" s="62" t="s">
        <v>54</v>
      </c>
      <c r="H37" s="62" t="s">
        <v>54</v>
      </c>
      <c r="I37" s="62" t="s">
        <v>54</v>
      </c>
      <c r="J37" s="62" t="s">
        <v>54</v>
      </c>
      <c r="K37" s="62" t="s">
        <v>54</v>
      </c>
    </row>
    <row r="38" spans="1:11" ht="15" customHeight="1" x14ac:dyDescent="0.2">
      <c r="A38" s="51" t="s">
        <v>8</v>
      </c>
      <c r="B38" s="62" t="s">
        <v>54</v>
      </c>
      <c r="C38" s="62" t="s">
        <v>54</v>
      </c>
      <c r="D38" s="62" t="s">
        <v>54</v>
      </c>
      <c r="E38" s="62" t="s">
        <v>54</v>
      </c>
      <c r="F38" s="62" t="s">
        <v>54</v>
      </c>
      <c r="G38" s="62" t="s">
        <v>54</v>
      </c>
      <c r="H38" s="62" t="s">
        <v>54</v>
      </c>
      <c r="I38" s="62" t="s">
        <v>54</v>
      </c>
      <c r="J38" s="62" t="s">
        <v>54</v>
      </c>
      <c r="K38" s="62" t="s">
        <v>54</v>
      </c>
    </row>
    <row r="39" spans="1:11" ht="15" customHeight="1" x14ac:dyDescent="0.2">
      <c r="A39" s="52" t="s">
        <v>44</v>
      </c>
      <c r="B39" s="62" t="s">
        <v>54</v>
      </c>
      <c r="C39" s="62" t="s">
        <v>54</v>
      </c>
      <c r="D39" s="62" t="s">
        <v>54</v>
      </c>
      <c r="E39" s="62" t="s">
        <v>54</v>
      </c>
      <c r="F39" s="62" t="s">
        <v>54</v>
      </c>
      <c r="G39" s="62" t="s">
        <v>54</v>
      </c>
      <c r="H39" s="62" t="s">
        <v>54</v>
      </c>
      <c r="I39" s="62" t="s">
        <v>54</v>
      </c>
      <c r="J39" s="62" t="s">
        <v>54</v>
      </c>
      <c r="K39" s="62" t="s">
        <v>54</v>
      </c>
    </row>
    <row r="40" spans="1:11" ht="15" customHeight="1" x14ac:dyDescent="0.2">
      <c r="A40" s="52" t="s">
        <v>45</v>
      </c>
      <c r="B40" s="62" t="s">
        <v>54</v>
      </c>
      <c r="C40" s="62" t="s">
        <v>54</v>
      </c>
      <c r="D40" s="62" t="s">
        <v>54</v>
      </c>
      <c r="E40" s="62" t="s">
        <v>54</v>
      </c>
      <c r="F40" s="62" t="s">
        <v>54</v>
      </c>
      <c r="G40" s="62" t="s">
        <v>54</v>
      </c>
      <c r="H40" s="62" t="s">
        <v>54</v>
      </c>
      <c r="I40" s="62" t="s">
        <v>54</v>
      </c>
      <c r="J40" s="62" t="s">
        <v>54</v>
      </c>
      <c r="K40" s="62" t="s">
        <v>54</v>
      </c>
    </row>
    <row r="41" spans="1:11" ht="15" customHeight="1" thickBot="1" x14ac:dyDescent="0.25">
      <c r="A41" s="52" t="s">
        <v>46</v>
      </c>
      <c r="B41" s="62" t="s">
        <v>54</v>
      </c>
      <c r="C41" s="62" t="s">
        <v>54</v>
      </c>
      <c r="D41" s="62" t="s">
        <v>54</v>
      </c>
      <c r="E41" s="62" t="s">
        <v>54</v>
      </c>
      <c r="F41" s="62" t="s">
        <v>54</v>
      </c>
      <c r="G41" s="62" t="s">
        <v>54</v>
      </c>
      <c r="H41" s="62" t="s">
        <v>54</v>
      </c>
      <c r="I41" s="62" t="s">
        <v>54</v>
      </c>
      <c r="J41" s="62" t="s">
        <v>54</v>
      </c>
      <c r="K41" s="62" t="s">
        <v>54</v>
      </c>
    </row>
    <row r="42" spans="1:11" ht="15" customHeight="1" thickBot="1" x14ac:dyDescent="0.25">
      <c r="A42" s="123" t="s">
        <v>13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7"/>
    </row>
    <row r="43" spans="1:11" ht="15" customHeight="1" x14ac:dyDescent="0.2">
      <c r="A43" s="49"/>
      <c r="B43" s="118" t="s">
        <v>51</v>
      </c>
      <c r="C43" s="119"/>
      <c r="D43" s="118" t="s">
        <v>50</v>
      </c>
      <c r="E43" s="119"/>
      <c r="F43" s="118" t="s">
        <v>52</v>
      </c>
      <c r="G43" s="119"/>
      <c r="H43" s="118" t="s">
        <v>49</v>
      </c>
      <c r="I43" s="119"/>
      <c r="J43" s="120" t="s">
        <v>48</v>
      </c>
      <c r="K43" s="121"/>
    </row>
    <row r="44" spans="1:11" ht="15" customHeight="1" x14ac:dyDescent="0.2">
      <c r="A44" s="50" t="s">
        <v>2</v>
      </c>
      <c r="B44" s="55" t="s">
        <v>33</v>
      </c>
      <c r="C44" s="57" t="s">
        <v>4</v>
      </c>
      <c r="D44" s="57" t="s">
        <v>33</v>
      </c>
      <c r="E44" s="57" t="s">
        <v>4</v>
      </c>
      <c r="F44" s="57" t="s">
        <v>33</v>
      </c>
      <c r="G44" s="57" t="s">
        <v>4</v>
      </c>
      <c r="H44" s="57" t="s">
        <v>33</v>
      </c>
      <c r="I44" s="57" t="s">
        <v>4</v>
      </c>
      <c r="J44" s="57" t="s">
        <v>33</v>
      </c>
      <c r="K44" s="58" t="s">
        <v>4</v>
      </c>
    </row>
    <row r="45" spans="1:11" ht="15" customHeight="1" x14ac:dyDescent="0.2">
      <c r="A45" s="51" t="s">
        <v>5</v>
      </c>
      <c r="B45" s="59">
        <f>0.1046+0.3656</f>
        <v>0.47019999999999995</v>
      </c>
      <c r="C45" s="59">
        <f>0.1597+0.3315</f>
        <v>0.49120000000000003</v>
      </c>
      <c r="D45" s="59">
        <f>0.1444+0.3159</f>
        <v>0.46030000000000004</v>
      </c>
      <c r="E45" s="59">
        <f>0.1704+0.3237</f>
        <v>0.49409999999999998</v>
      </c>
      <c r="F45" s="62" t="s">
        <v>54</v>
      </c>
      <c r="G45" s="59">
        <f>0.1614+0.3124</f>
        <v>0.4738</v>
      </c>
      <c r="H45" s="59">
        <f>0.1161+0.2893</f>
        <v>0.40539999999999998</v>
      </c>
      <c r="I45" s="59">
        <f>0.158+0.3084</f>
        <v>0.46640000000000004</v>
      </c>
      <c r="J45" s="59">
        <f>0.1115+0.3202</f>
        <v>0.43169999999999997</v>
      </c>
      <c r="K45" s="60">
        <f>0.1587+0.2979</f>
        <v>0.45660000000000001</v>
      </c>
    </row>
    <row r="46" spans="1:11" ht="15" customHeight="1" x14ac:dyDescent="0.2">
      <c r="A46" s="52" t="s">
        <v>44</v>
      </c>
      <c r="B46" s="59">
        <v>0.09</v>
      </c>
      <c r="C46" s="59">
        <f>0.019+0.0958</f>
        <v>0.1148</v>
      </c>
      <c r="D46" s="59">
        <v>7.0000000000000007E-2</v>
      </c>
      <c r="E46" s="59">
        <f>0.0224+0.102</f>
        <v>0.1244</v>
      </c>
      <c r="F46" s="62" t="s">
        <v>54</v>
      </c>
      <c r="G46" s="59">
        <f>0.0185+0.0953</f>
        <v>0.1138</v>
      </c>
      <c r="H46" s="59">
        <v>0.04</v>
      </c>
      <c r="I46" s="59">
        <f>0.0206+0.0982</f>
        <v>0.11879999999999999</v>
      </c>
      <c r="J46" s="59">
        <v>0.04</v>
      </c>
      <c r="K46" s="60">
        <f>0.0228+0.0957</f>
        <v>0.11849999999999999</v>
      </c>
    </row>
    <row r="47" spans="1:11" ht="15" customHeight="1" x14ac:dyDescent="0.2">
      <c r="A47" s="52" t="s">
        <v>45</v>
      </c>
      <c r="B47" s="59">
        <v>0.01</v>
      </c>
      <c r="C47" s="59">
        <f>0.0037+0.0556</f>
        <v>5.9299999999999999E-2</v>
      </c>
      <c r="D47" s="59">
        <v>0.04</v>
      </c>
      <c r="E47" s="59">
        <f>0.0033+0.0585</f>
        <v>6.1800000000000001E-2</v>
      </c>
      <c r="F47" s="62" t="s">
        <v>54</v>
      </c>
      <c r="G47" s="59">
        <f>0.0048+0.0673</f>
        <v>7.2099999999999997E-2</v>
      </c>
      <c r="H47" s="59">
        <v>0.02</v>
      </c>
      <c r="I47" s="59">
        <f>0.0028+0.0642</f>
        <v>6.699999999999999E-2</v>
      </c>
      <c r="J47" s="59">
        <v>0.03</v>
      </c>
      <c r="K47" s="60">
        <f>0.02+0.0508</f>
        <v>7.0800000000000002E-2</v>
      </c>
    </row>
    <row r="48" spans="1:11" ht="15" customHeight="1" x14ac:dyDescent="0.2">
      <c r="A48" s="52" t="s">
        <v>46</v>
      </c>
      <c r="B48" s="59">
        <f>0.078+0.3328</f>
        <v>0.4108</v>
      </c>
      <c r="C48" s="59">
        <f>0.0791+0.2862</f>
        <v>0.36530000000000001</v>
      </c>
      <c r="D48" s="59">
        <f>0.0985+0.294</f>
        <v>0.39249999999999996</v>
      </c>
      <c r="E48" s="59">
        <f>0.2965+0.3842</f>
        <v>0.68069999999999997</v>
      </c>
      <c r="F48" s="62" t="s">
        <v>54</v>
      </c>
      <c r="G48" s="59">
        <f>0.0813+0.2653</f>
        <v>0.34659999999999996</v>
      </c>
      <c r="H48" s="59">
        <f>0.06+0.2482</f>
        <v>0.30820000000000003</v>
      </c>
      <c r="I48" s="59">
        <f>0.0865+0.2864</f>
        <v>0.37290000000000001</v>
      </c>
      <c r="J48" s="59">
        <f>0.075+0.2873</f>
        <v>0.36230000000000001</v>
      </c>
      <c r="K48" s="60">
        <f>0.0828+0.1033</f>
        <v>0.18609999999999999</v>
      </c>
    </row>
    <row r="49" spans="1:11" ht="15" customHeight="1" x14ac:dyDescent="0.2">
      <c r="A49" s="51" t="s">
        <v>6</v>
      </c>
      <c r="B49" s="62">
        <f>0.1847+0.1802</f>
        <v>0.3649</v>
      </c>
      <c r="C49" s="62">
        <f>0.2076+0.1612</f>
        <v>0.36880000000000002</v>
      </c>
      <c r="D49" s="62">
        <f>0.25+0.1576</f>
        <v>0.40759999999999996</v>
      </c>
      <c r="E49" s="61">
        <f>0.2082+0.1581</f>
        <v>0.36629999999999996</v>
      </c>
      <c r="F49" s="62" t="s">
        <v>54</v>
      </c>
      <c r="G49" s="62">
        <f>0.1681+0.1404</f>
        <v>0.3085</v>
      </c>
      <c r="H49" s="62">
        <f>0.095+0.1143</f>
        <v>0.20929999999999999</v>
      </c>
      <c r="I49" s="62">
        <f>0.1587+0.1337</f>
        <v>0.29239999999999999</v>
      </c>
      <c r="J49" s="62">
        <f>0.1388+0.1486</f>
        <v>0.28739999999999999</v>
      </c>
      <c r="K49" s="63">
        <f>0.1665+0.1329</f>
        <v>0.2994</v>
      </c>
    </row>
    <row r="50" spans="1:11" ht="15" customHeight="1" x14ac:dyDescent="0.2">
      <c r="A50" s="52" t="s">
        <v>44</v>
      </c>
      <c r="B50" s="59">
        <v>0.05</v>
      </c>
      <c r="C50" s="59">
        <f>0.0322+0.0419</f>
        <v>7.4099999999999999E-2</v>
      </c>
      <c r="D50" s="59">
        <f>0.0145+0.0145</f>
        <v>2.9000000000000001E-2</v>
      </c>
      <c r="E50" s="59">
        <f>0.0341+0.0421</f>
        <v>7.619999999999999E-2</v>
      </c>
      <c r="F50" s="62" t="s">
        <v>54</v>
      </c>
      <c r="G50" s="59">
        <f>0.0241+0.0344</f>
        <v>5.8499999999999996E-2</v>
      </c>
      <c r="H50" s="59">
        <v>0.01</v>
      </c>
      <c r="I50" s="59">
        <f>0.0258+0.0343</f>
        <v>6.0100000000000001E-2</v>
      </c>
      <c r="J50" s="59">
        <v>0</v>
      </c>
      <c r="K50" s="60">
        <f>0.0293+0.0364</f>
        <v>6.5700000000000008E-2</v>
      </c>
    </row>
    <row r="51" spans="1:11" ht="15" customHeight="1" x14ac:dyDescent="0.2">
      <c r="A51" s="52" t="s">
        <v>45</v>
      </c>
      <c r="B51" s="59">
        <v>0.01</v>
      </c>
      <c r="C51" s="59">
        <f>0.0251+0.0408</f>
        <v>6.59E-2</v>
      </c>
      <c r="D51" s="59">
        <v>0</v>
      </c>
      <c r="E51" s="59">
        <f>0.0223+0.0373</f>
        <v>5.96E-2</v>
      </c>
      <c r="F51" s="62" t="s">
        <v>54</v>
      </c>
      <c r="G51" s="59">
        <f>0.0126+0.025</f>
        <v>3.7600000000000001E-2</v>
      </c>
      <c r="H51" s="59">
        <f>0.0368+0.09</f>
        <v>0.1268</v>
      </c>
      <c r="I51" s="59">
        <f>0.0103+0.0228</f>
        <v>3.3100000000000004E-2</v>
      </c>
      <c r="J51" s="59">
        <v>0</v>
      </c>
      <c r="K51" s="60">
        <f>0.0105+0.0222</f>
        <v>3.27E-2</v>
      </c>
    </row>
    <row r="52" spans="1:11" ht="15" customHeight="1" x14ac:dyDescent="0.2">
      <c r="A52" s="52" t="s">
        <v>46</v>
      </c>
      <c r="B52" s="59">
        <f>0.1484+0.1694</f>
        <v>0.31779999999999997</v>
      </c>
      <c r="C52" s="59">
        <f>0.1052+0.1329</f>
        <v>0.23809999999999998</v>
      </c>
      <c r="D52" s="59">
        <f>0.2075+0.1394</f>
        <v>0.34689999999999999</v>
      </c>
      <c r="E52" s="59">
        <f>0.1069+0.1318</f>
        <v>0.2387</v>
      </c>
      <c r="F52" s="62" t="s">
        <v>54</v>
      </c>
      <c r="G52" s="59">
        <f>0.0734+0.1048</f>
        <v>0.17820000000000003</v>
      </c>
      <c r="H52" s="59">
        <v>0.01</v>
      </c>
      <c r="I52" s="59">
        <f>0.0755+0.1019</f>
        <v>0.1774</v>
      </c>
      <c r="J52" s="59">
        <f>0.0965+0.1206</f>
        <v>0.21710000000000002</v>
      </c>
      <c r="K52" s="60">
        <f>0.0881+0.2577</f>
        <v>0.3458</v>
      </c>
    </row>
    <row r="53" spans="1:11" ht="15" customHeight="1" x14ac:dyDescent="0.2">
      <c r="A53" s="51" t="s">
        <v>7</v>
      </c>
      <c r="B53" s="62" t="s">
        <v>54</v>
      </c>
      <c r="C53" s="62" t="s">
        <v>54</v>
      </c>
      <c r="D53" s="62">
        <v>0.26050000000000001</v>
      </c>
      <c r="E53" s="62">
        <v>0.30940000000000001</v>
      </c>
      <c r="F53" s="62" t="s">
        <v>54</v>
      </c>
      <c r="G53" s="62">
        <v>0.2702</v>
      </c>
      <c r="H53" s="62">
        <v>0.24929999999999999</v>
      </c>
      <c r="I53" s="62">
        <v>0.29199999999999998</v>
      </c>
      <c r="J53" s="62">
        <v>0.28129999999999999</v>
      </c>
      <c r="K53" s="63">
        <v>0.28760000000000002</v>
      </c>
    </row>
    <row r="54" spans="1:11" ht="15" customHeight="1" x14ac:dyDescent="0.2">
      <c r="A54" s="52" t="s">
        <v>44</v>
      </c>
      <c r="B54" s="62" t="s">
        <v>54</v>
      </c>
      <c r="C54" s="62" t="s">
        <v>54</v>
      </c>
      <c r="D54" s="59">
        <v>2.9000000000000001E-2</v>
      </c>
      <c r="E54" s="59">
        <v>7.4300000000000005E-2</v>
      </c>
      <c r="F54" s="62" t="s">
        <v>54</v>
      </c>
      <c r="G54" s="59">
        <v>6.0100000000000001E-2</v>
      </c>
      <c r="H54" s="59">
        <v>1.43E-2</v>
      </c>
      <c r="I54" s="59">
        <v>7.3200000000000001E-2</v>
      </c>
      <c r="J54" s="59">
        <v>2.0799999999999999E-2</v>
      </c>
      <c r="K54" s="60">
        <v>7.17E-2</v>
      </c>
    </row>
    <row r="55" spans="1:11" ht="15" customHeight="1" x14ac:dyDescent="0.2">
      <c r="A55" s="52" t="s">
        <v>45</v>
      </c>
      <c r="B55" s="62" t="s">
        <v>54</v>
      </c>
      <c r="C55" s="62" t="s">
        <v>54</v>
      </c>
      <c r="D55" s="59">
        <v>0</v>
      </c>
      <c r="E55" s="59">
        <v>2.3400000000000001E-2</v>
      </c>
      <c r="F55" s="62">
        <v>0.05</v>
      </c>
      <c r="G55" s="59">
        <v>1.9E-2</v>
      </c>
      <c r="H55" s="59">
        <v>9.7000000000000003E-3</v>
      </c>
      <c r="I55" s="59">
        <v>1.5699999999999999E-2</v>
      </c>
      <c r="J55" s="59">
        <v>2.1299999999999999E-2</v>
      </c>
      <c r="K55" s="60">
        <v>1.2500000000000001E-2</v>
      </c>
    </row>
    <row r="56" spans="1:11" ht="15" customHeight="1" x14ac:dyDescent="0.2">
      <c r="A56" s="52" t="s">
        <v>46</v>
      </c>
      <c r="B56" s="62" t="s">
        <v>54</v>
      </c>
      <c r="C56" s="62" t="s">
        <v>54</v>
      </c>
      <c r="D56" s="59">
        <v>0.2036</v>
      </c>
      <c r="E56" s="59">
        <v>0.19059999999999999</v>
      </c>
      <c r="F56" s="62" t="s">
        <v>54</v>
      </c>
      <c r="G56" s="59">
        <v>0.14130000000000001</v>
      </c>
      <c r="H56" s="59">
        <v>0.19850000000000001</v>
      </c>
      <c r="I56" s="59">
        <v>0.17910000000000001</v>
      </c>
      <c r="J56" s="59">
        <v>0.2266</v>
      </c>
      <c r="K56" s="60">
        <v>0.17949999999999999</v>
      </c>
    </row>
    <row r="57" spans="1:11" ht="15" customHeight="1" x14ac:dyDescent="0.2">
      <c r="A57" s="51" t="s">
        <v>8</v>
      </c>
      <c r="B57" s="62" t="s">
        <v>54</v>
      </c>
      <c r="C57" s="62" t="s">
        <v>54</v>
      </c>
      <c r="D57" s="62" t="s">
        <v>54</v>
      </c>
      <c r="E57" s="62" t="s">
        <v>54</v>
      </c>
      <c r="F57" s="62" t="s">
        <v>54</v>
      </c>
      <c r="G57" s="62" t="s">
        <v>54</v>
      </c>
      <c r="H57" s="62" t="s">
        <v>54</v>
      </c>
      <c r="I57" s="62" t="s">
        <v>54</v>
      </c>
      <c r="J57" s="62" t="s">
        <v>54</v>
      </c>
      <c r="K57" s="62" t="s">
        <v>54</v>
      </c>
    </row>
    <row r="58" spans="1:11" ht="15" customHeight="1" x14ac:dyDescent="0.2">
      <c r="A58" s="52" t="s">
        <v>44</v>
      </c>
      <c r="B58" s="62" t="s">
        <v>54</v>
      </c>
      <c r="C58" s="62" t="s">
        <v>54</v>
      </c>
      <c r="D58" s="62" t="s">
        <v>54</v>
      </c>
      <c r="E58" s="62" t="s">
        <v>54</v>
      </c>
      <c r="F58" s="62" t="s">
        <v>54</v>
      </c>
      <c r="G58" s="62" t="s">
        <v>54</v>
      </c>
      <c r="H58" s="62" t="s">
        <v>54</v>
      </c>
      <c r="I58" s="62" t="s">
        <v>54</v>
      </c>
      <c r="J58" s="62" t="s">
        <v>54</v>
      </c>
      <c r="K58" s="62" t="s">
        <v>54</v>
      </c>
    </row>
    <row r="59" spans="1:11" ht="15" customHeight="1" x14ac:dyDescent="0.2">
      <c r="A59" s="52" t="s">
        <v>45</v>
      </c>
      <c r="B59" s="62" t="s">
        <v>54</v>
      </c>
      <c r="C59" s="62" t="s">
        <v>54</v>
      </c>
      <c r="D59" s="62" t="s">
        <v>54</v>
      </c>
      <c r="E59" s="62" t="s">
        <v>54</v>
      </c>
      <c r="F59" s="62" t="s">
        <v>54</v>
      </c>
      <c r="G59" s="62" t="s">
        <v>54</v>
      </c>
      <c r="H59" s="62" t="s">
        <v>54</v>
      </c>
      <c r="I59" s="62" t="s">
        <v>54</v>
      </c>
      <c r="J59" s="62" t="s">
        <v>54</v>
      </c>
      <c r="K59" s="62" t="s">
        <v>54</v>
      </c>
    </row>
    <row r="60" spans="1:11" ht="15" customHeight="1" x14ac:dyDescent="0.2">
      <c r="A60" s="52" t="s">
        <v>46</v>
      </c>
      <c r="B60" s="62" t="s">
        <v>54</v>
      </c>
      <c r="C60" s="62" t="s">
        <v>54</v>
      </c>
      <c r="D60" s="62" t="s">
        <v>54</v>
      </c>
      <c r="E60" s="62" t="s">
        <v>54</v>
      </c>
      <c r="F60" s="62" t="s">
        <v>54</v>
      </c>
      <c r="G60" s="62" t="s">
        <v>54</v>
      </c>
      <c r="H60" s="62" t="s">
        <v>54</v>
      </c>
      <c r="I60" s="62" t="s">
        <v>54</v>
      </c>
      <c r="J60" s="62" t="s">
        <v>54</v>
      </c>
      <c r="K60" s="62" t="s">
        <v>54</v>
      </c>
    </row>
  </sheetData>
  <mergeCells count="21">
    <mergeCell ref="A42:K42"/>
    <mergeCell ref="B43:C43"/>
    <mergeCell ref="D43:E43"/>
    <mergeCell ref="F43:G43"/>
    <mergeCell ref="H43:I43"/>
    <mergeCell ref="J43:K43"/>
    <mergeCell ref="A23:K23"/>
    <mergeCell ref="B24:C24"/>
    <mergeCell ref="D24:E24"/>
    <mergeCell ref="F24:G24"/>
    <mergeCell ref="H24:I24"/>
    <mergeCell ref="J24:K24"/>
    <mergeCell ref="A1:K1"/>
    <mergeCell ref="A2:K2"/>
    <mergeCell ref="A3:K3"/>
    <mergeCell ref="A4:K4"/>
    <mergeCell ref="B5:C5"/>
    <mergeCell ref="D5:E5"/>
    <mergeCell ref="F5:G5"/>
    <mergeCell ref="H5:I5"/>
    <mergeCell ref="J5:K5"/>
  </mergeCells>
  <printOptions horizontalCentered="1"/>
  <pageMargins left="0.7" right="0.7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009CE-326A-452D-9042-EDAE0A37ABAB}">
  <sheetPr>
    <pageSetUpPr fitToPage="1"/>
  </sheetPr>
  <dimension ref="A1:K60"/>
  <sheetViews>
    <sheetView topLeftCell="A31" zoomScale="155" zoomScaleNormal="155" workbookViewId="0">
      <selection activeCell="D54" sqref="D54"/>
    </sheetView>
  </sheetViews>
  <sheetFormatPr baseColWidth="10" defaultColWidth="14.5" defaultRowHeight="15" customHeight="1" x14ac:dyDescent="0.2"/>
  <cols>
    <col min="1" max="12" width="11.6640625" customWidth="1"/>
  </cols>
  <sheetData>
    <row r="1" spans="1:11" ht="15" customHeight="1" x14ac:dyDescent="0.2">
      <c r="A1" s="106" t="s">
        <v>43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 ht="15" customHeight="1" x14ac:dyDescent="0.2">
      <c r="A2" s="124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ht="15" customHeight="1" thickBot="1" x14ac:dyDescent="0.25">
      <c r="A3" s="112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15" customHeight="1" thickBot="1" x14ac:dyDescent="0.25">
      <c r="A4" s="115" t="s">
        <v>14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ht="15" customHeight="1" x14ac:dyDescent="0.2">
      <c r="A5" s="49"/>
      <c r="B5" s="118" t="s">
        <v>51</v>
      </c>
      <c r="C5" s="119"/>
      <c r="D5" s="118" t="s">
        <v>50</v>
      </c>
      <c r="E5" s="119"/>
      <c r="F5" s="118" t="s">
        <v>53</v>
      </c>
      <c r="G5" s="119"/>
      <c r="H5" s="118" t="s">
        <v>49</v>
      </c>
      <c r="I5" s="119"/>
      <c r="J5" s="120" t="s">
        <v>48</v>
      </c>
      <c r="K5" s="121"/>
    </row>
    <row r="6" spans="1:11" ht="15" customHeight="1" x14ac:dyDescent="0.2">
      <c r="A6" s="50" t="s">
        <v>2</v>
      </c>
      <c r="B6" s="55" t="s">
        <v>33</v>
      </c>
      <c r="C6" s="57" t="s">
        <v>4</v>
      </c>
      <c r="D6" s="57" t="s">
        <v>33</v>
      </c>
      <c r="E6" s="57" t="s">
        <v>4</v>
      </c>
      <c r="F6" s="57" t="s">
        <v>33</v>
      </c>
      <c r="G6" s="57" t="s">
        <v>4</v>
      </c>
      <c r="H6" s="57" t="s">
        <v>33</v>
      </c>
      <c r="I6" s="57" t="s">
        <v>4</v>
      </c>
      <c r="J6" s="57" t="s">
        <v>33</v>
      </c>
      <c r="K6" s="58" t="s">
        <v>4</v>
      </c>
    </row>
    <row r="7" spans="1:11" ht="15" customHeight="1" x14ac:dyDescent="0.2">
      <c r="A7" s="51" t="s">
        <v>5</v>
      </c>
      <c r="B7" s="62" t="s">
        <v>54</v>
      </c>
      <c r="C7" s="62" t="s">
        <v>54</v>
      </c>
      <c r="D7" s="62" t="s">
        <v>54</v>
      </c>
      <c r="E7" s="62" t="s">
        <v>54</v>
      </c>
      <c r="F7" s="62" t="s">
        <v>54</v>
      </c>
      <c r="G7" s="62" t="s">
        <v>54</v>
      </c>
      <c r="H7" s="62" t="s">
        <v>54</v>
      </c>
      <c r="I7" s="62" t="s">
        <v>54</v>
      </c>
      <c r="J7" s="62" t="s">
        <v>54</v>
      </c>
      <c r="K7" s="62" t="s">
        <v>54</v>
      </c>
    </row>
    <row r="8" spans="1:11" ht="15" customHeight="1" x14ac:dyDescent="0.2">
      <c r="A8" s="52" t="s">
        <v>44</v>
      </c>
      <c r="B8" s="62" t="s">
        <v>54</v>
      </c>
      <c r="C8" s="62" t="s">
        <v>54</v>
      </c>
      <c r="D8" s="62" t="s">
        <v>54</v>
      </c>
      <c r="E8" s="62" t="s">
        <v>54</v>
      </c>
      <c r="F8" s="62" t="s">
        <v>54</v>
      </c>
      <c r="G8" s="62" t="s">
        <v>54</v>
      </c>
      <c r="H8" s="62" t="s">
        <v>54</v>
      </c>
      <c r="I8" s="62" t="s">
        <v>54</v>
      </c>
      <c r="J8" s="62" t="s">
        <v>54</v>
      </c>
      <c r="K8" s="62" t="s">
        <v>54</v>
      </c>
    </row>
    <row r="9" spans="1:11" ht="15" customHeight="1" x14ac:dyDescent="0.2">
      <c r="A9" s="52" t="s">
        <v>45</v>
      </c>
      <c r="B9" s="62" t="s">
        <v>54</v>
      </c>
      <c r="C9" s="62" t="s">
        <v>54</v>
      </c>
      <c r="D9" s="62" t="s">
        <v>54</v>
      </c>
      <c r="E9" s="62" t="s">
        <v>54</v>
      </c>
      <c r="F9" s="62" t="s">
        <v>54</v>
      </c>
      <c r="G9" s="62" t="s">
        <v>54</v>
      </c>
      <c r="H9" s="62" t="s">
        <v>54</v>
      </c>
      <c r="I9" s="62" t="s">
        <v>54</v>
      </c>
      <c r="J9" s="62" t="s">
        <v>54</v>
      </c>
      <c r="K9" s="62" t="s">
        <v>54</v>
      </c>
    </row>
    <row r="10" spans="1:11" ht="15" customHeight="1" x14ac:dyDescent="0.2">
      <c r="A10" s="52" t="s">
        <v>46</v>
      </c>
      <c r="B10" s="62" t="s">
        <v>54</v>
      </c>
      <c r="C10" s="62" t="s">
        <v>54</v>
      </c>
      <c r="D10" s="62" t="s">
        <v>54</v>
      </c>
      <c r="E10" s="62" t="s">
        <v>54</v>
      </c>
      <c r="F10" s="62" t="s">
        <v>54</v>
      </c>
      <c r="G10" s="62" t="s">
        <v>54</v>
      </c>
      <c r="H10" s="62" t="s">
        <v>54</v>
      </c>
      <c r="I10" s="62" t="s">
        <v>54</v>
      </c>
      <c r="J10" s="62" t="s">
        <v>54</v>
      </c>
      <c r="K10" s="62" t="s">
        <v>54</v>
      </c>
    </row>
    <row r="11" spans="1:11" ht="15" customHeight="1" x14ac:dyDescent="0.2">
      <c r="A11" s="51" t="s">
        <v>6</v>
      </c>
      <c r="B11" s="62" t="s">
        <v>54</v>
      </c>
      <c r="C11" s="62" t="s">
        <v>54</v>
      </c>
      <c r="D11" s="62" t="s">
        <v>54</v>
      </c>
      <c r="E11" s="62" t="s">
        <v>54</v>
      </c>
      <c r="F11" s="62" t="s">
        <v>54</v>
      </c>
      <c r="G11" s="62" t="s">
        <v>54</v>
      </c>
      <c r="H11" s="62" t="s">
        <v>54</v>
      </c>
      <c r="I11" s="62" t="s">
        <v>54</v>
      </c>
      <c r="J11" s="62" t="s">
        <v>54</v>
      </c>
      <c r="K11" s="62" t="s">
        <v>54</v>
      </c>
    </row>
    <row r="12" spans="1:11" ht="15" customHeight="1" x14ac:dyDescent="0.2">
      <c r="A12" s="52" t="s">
        <v>44</v>
      </c>
      <c r="B12" s="62" t="s">
        <v>54</v>
      </c>
      <c r="C12" s="62" t="s">
        <v>54</v>
      </c>
      <c r="D12" s="62" t="s">
        <v>54</v>
      </c>
      <c r="E12" s="62" t="s">
        <v>54</v>
      </c>
      <c r="F12" s="62" t="s">
        <v>54</v>
      </c>
      <c r="G12" s="62" t="s">
        <v>54</v>
      </c>
      <c r="H12" s="62" t="s">
        <v>54</v>
      </c>
      <c r="I12" s="62" t="s">
        <v>54</v>
      </c>
      <c r="J12" s="62" t="s">
        <v>54</v>
      </c>
      <c r="K12" s="62" t="s">
        <v>54</v>
      </c>
    </row>
    <row r="13" spans="1:11" ht="15" customHeight="1" x14ac:dyDescent="0.2">
      <c r="A13" s="52" t="s">
        <v>45</v>
      </c>
      <c r="B13" s="62" t="s">
        <v>54</v>
      </c>
      <c r="C13" s="62" t="s">
        <v>54</v>
      </c>
      <c r="D13" s="62" t="s">
        <v>54</v>
      </c>
      <c r="E13" s="62" t="s">
        <v>54</v>
      </c>
      <c r="F13" s="62" t="s">
        <v>54</v>
      </c>
      <c r="G13" s="62" t="s">
        <v>54</v>
      </c>
      <c r="H13" s="62" t="s">
        <v>54</v>
      </c>
      <c r="I13" s="62" t="s">
        <v>54</v>
      </c>
      <c r="J13" s="62" t="s">
        <v>54</v>
      </c>
      <c r="K13" s="62" t="s">
        <v>54</v>
      </c>
    </row>
    <row r="14" spans="1:11" ht="15" customHeight="1" x14ac:dyDescent="0.2">
      <c r="A14" s="52" t="s">
        <v>46</v>
      </c>
      <c r="B14" s="62" t="s">
        <v>54</v>
      </c>
      <c r="C14" s="62" t="s">
        <v>54</v>
      </c>
      <c r="D14" s="62" t="s">
        <v>54</v>
      </c>
      <c r="E14" s="62" t="s">
        <v>54</v>
      </c>
      <c r="F14" s="62" t="s">
        <v>54</v>
      </c>
      <c r="G14" s="62" t="s">
        <v>54</v>
      </c>
      <c r="H14" s="62" t="s">
        <v>54</v>
      </c>
      <c r="I14" s="62" t="s">
        <v>54</v>
      </c>
      <c r="J14" s="62" t="s">
        <v>54</v>
      </c>
      <c r="K14" s="62" t="s">
        <v>54</v>
      </c>
    </row>
    <row r="15" spans="1:11" ht="15" customHeight="1" x14ac:dyDescent="0.2">
      <c r="A15" s="51" t="s">
        <v>7</v>
      </c>
      <c r="B15" s="62" t="s">
        <v>54</v>
      </c>
      <c r="C15" s="62" t="s">
        <v>54</v>
      </c>
      <c r="D15" s="62" t="s">
        <v>54</v>
      </c>
      <c r="E15" s="62" t="s">
        <v>54</v>
      </c>
      <c r="F15" s="62" t="s">
        <v>54</v>
      </c>
      <c r="G15" s="62" t="s">
        <v>54</v>
      </c>
      <c r="H15" s="62" t="s">
        <v>54</v>
      </c>
      <c r="I15" s="62" t="s">
        <v>54</v>
      </c>
      <c r="J15" s="62" t="s">
        <v>54</v>
      </c>
      <c r="K15" s="62" t="s">
        <v>54</v>
      </c>
    </row>
    <row r="16" spans="1:11" ht="15" customHeight="1" x14ac:dyDescent="0.2">
      <c r="A16" s="52" t="s">
        <v>44</v>
      </c>
      <c r="B16" s="62" t="s">
        <v>54</v>
      </c>
      <c r="C16" s="62" t="s">
        <v>54</v>
      </c>
      <c r="D16" s="62" t="s">
        <v>54</v>
      </c>
      <c r="E16" s="62" t="s">
        <v>54</v>
      </c>
      <c r="F16" s="62" t="s">
        <v>54</v>
      </c>
      <c r="G16" s="62" t="s">
        <v>54</v>
      </c>
      <c r="H16" s="62" t="s">
        <v>54</v>
      </c>
      <c r="I16" s="62" t="s">
        <v>54</v>
      </c>
      <c r="J16" s="62" t="s">
        <v>54</v>
      </c>
      <c r="K16" s="62" t="s">
        <v>54</v>
      </c>
    </row>
    <row r="17" spans="1:11" ht="15" customHeight="1" x14ac:dyDescent="0.2">
      <c r="A17" s="52" t="s">
        <v>45</v>
      </c>
      <c r="B17" s="62" t="s">
        <v>54</v>
      </c>
      <c r="C17" s="62" t="s">
        <v>54</v>
      </c>
      <c r="D17" s="62" t="s">
        <v>54</v>
      </c>
      <c r="E17" s="62" t="s">
        <v>54</v>
      </c>
      <c r="F17" s="62" t="s">
        <v>54</v>
      </c>
      <c r="G17" s="62" t="s">
        <v>54</v>
      </c>
      <c r="H17" s="62" t="s">
        <v>54</v>
      </c>
      <c r="I17" s="62" t="s">
        <v>54</v>
      </c>
      <c r="J17" s="62" t="s">
        <v>54</v>
      </c>
      <c r="K17" s="62" t="s">
        <v>54</v>
      </c>
    </row>
    <row r="18" spans="1:11" ht="15" customHeight="1" x14ac:dyDescent="0.2">
      <c r="A18" s="52" t="s">
        <v>46</v>
      </c>
      <c r="B18" s="62" t="s">
        <v>54</v>
      </c>
      <c r="C18" s="62" t="s">
        <v>54</v>
      </c>
      <c r="D18" s="62" t="s">
        <v>54</v>
      </c>
      <c r="E18" s="62" t="s">
        <v>54</v>
      </c>
      <c r="F18" s="62" t="s">
        <v>54</v>
      </c>
      <c r="G18" s="62" t="s">
        <v>54</v>
      </c>
      <c r="H18" s="62" t="s">
        <v>54</v>
      </c>
      <c r="I18" s="62" t="s">
        <v>54</v>
      </c>
      <c r="J18" s="62" t="s">
        <v>54</v>
      </c>
      <c r="K18" s="62" t="s">
        <v>54</v>
      </c>
    </row>
    <row r="19" spans="1:11" ht="15" customHeight="1" x14ac:dyDescent="0.2">
      <c r="A19" s="51" t="s">
        <v>8</v>
      </c>
      <c r="B19" s="62" t="s">
        <v>54</v>
      </c>
      <c r="C19" s="62" t="s">
        <v>54</v>
      </c>
      <c r="D19" s="62" t="s">
        <v>54</v>
      </c>
      <c r="E19" s="62" t="s">
        <v>54</v>
      </c>
      <c r="F19" s="62" t="s">
        <v>54</v>
      </c>
      <c r="G19" s="62" t="s">
        <v>54</v>
      </c>
      <c r="H19" s="62" t="s">
        <v>54</v>
      </c>
      <c r="I19" s="62" t="s">
        <v>54</v>
      </c>
      <c r="J19" s="62" t="s">
        <v>54</v>
      </c>
      <c r="K19" s="62" t="s">
        <v>54</v>
      </c>
    </row>
    <row r="20" spans="1:11" ht="15" customHeight="1" x14ac:dyDescent="0.2">
      <c r="A20" s="52" t="s">
        <v>44</v>
      </c>
      <c r="B20" s="62" t="s">
        <v>54</v>
      </c>
      <c r="C20" s="62" t="s">
        <v>54</v>
      </c>
      <c r="D20" s="62" t="s">
        <v>54</v>
      </c>
      <c r="E20" s="62" t="s">
        <v>54</v>
      </c>
      <c r="F20" s="62" t="s">
        <v>54</v>
      </c>
      <c r="G20" s="62" t="s">
        <v>54</v>
      </c>
      <c r="H20" s="62" t="s">
        <v>54</v>
      </c>
      <c r="I20" s="62" t="s">
        <v>54</v>
      </c>
      <c r="J20" s="62" t="s">
        <v>54</v>
      </c>
      <c r="K20" s="62" t="s">
        <v>54</v>
      </c>
    </row>
    <row r="21" spans="1:11" ht="15" customHeight="1" x14ac:dyDescent="0.2">
      <c r="A21" s="52" t="s">
        <v>45</v>
      </c>
      <c r="B21" s="62" t="s">
        <v>54</v>
      </c>
      <c r="C21" s="62" t="s">
        <v>54</v>
      </c>
      <c r="D21" s="62" t="s">
        <v>54</v>
      </c>
      <c r="E21" s="62" t="s">
        <v>54</v>
      </c>
      <c r="F21" s="62" t="s">
        <v>54</v>
      </c>
      <c r="G21" s="62" t="s">
        <v>54</v>
      </c>
      <c r="H21" s="62" t="s">
        <v>54</v>
      </c>
      <c r="I21" s="62" t="s">
        <v>54</v>
      </c>
      <c r="J21" s="62" t="s">
        <v>54</v>
      </c>
      <c r="K21" s="62" t="s">
        <v>54</v>
      </c>
    </row>
    <row r="22" spans="1:11" ht="15" customHeight="1" thickBot="1" x14ac:dyDescent="0.25">
      <c r="A22" s="52" t="s">
        <v>46</v>
      </c>
      <c r="B22" s="62" t="s">
        <v>54</v>
      </c>
      <c r="C22" s="62" t="s">
        <v>54</v>
      </c>
      <c r="D22" s="62" t="s">
        <v>54</v>
      </c>
      <c r="E22" s="62" t="s">
        <v>54</v>
      </c>
      <c r="F22" s="62" t="s">
        <v>54</v>
      </c>
      <c r="G22" s="62" t="s">
        <v>54</v>
      </c>
      <c r="H22" s="62" t="s">
        <v>54</v>
      </c>
      <c r="I22" s="62" t="s">
        <v>54</v>
      </c>
      <c r="J22" s="62" t="s">
        <v>54</v>
      </c>
      <c r="K22" s="62" t="s">
        <v>54</v>
      </c>
    </row>
    <row r="23" spans="1:11" ht="15" customHeight="1" thickBot="1" x14ac:dyDescent="0.25">
      <c r="A23" s="122" t="s">
        <v>15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7"/>
    </row>
    <row r="24" spans="1:11" ht="15" customHeight="1" x14ac:dyDescent="0.2">
      <c r="A24" s="49"/>
      <c r="B24" s="118" t="s">
        <v>51</v>
      </c>
      <c r="C24" s="119"/>
      <c r="D24" s="118" t="s">
        <v>50</v>
      </c>
      <c r="E24" s="119"/>
      <c r="F24" s="118" t="s">
        <v>53</v>
      </c>
      <c r="G24" s="119"/>
      <c r="H24" s="118" t="s">
        <v>49</v>
      </c>
      <c r="I24" s="119"/>
      <c r="J24" s="120" t="s">
        <v>48</v>
      </c>
      <c r="K24" s="121"/>
    </row>
    <row r="25" spans="1:11" ht="15" customHeight="1" x14ac:dyDescent="0.2">
      <c r="A25" s="50" t="s">
        <v>2</v>
      </c>
      <c r="B25" s="55" t="s">
        <v>33</v>
      </c>
      <c r="C25" s="57" t="s">
        <v>4</v>
      </c>
      <c r="D25" s="57" t="s">
        <v>33</v>
      </c>
      <c r="E25" s="57" t="s">
        <v>4</v>
      </c>
      <c r="F25" s="57" t="s">
        <v>33</v>
      </c>
      <c r="G25" s="57" t="s">
        <v>4</v>
      </c>
      <c r="H25" s="57" t="s">
        <v>33</v>
      </c>
      <c r="I25" s="57" t="s">
        <v>4</v>
      </c>
      <c r="J25" s="57" t="s">
        <v>33</v>
      </c>
      <c r="K25" s="58" t="s">
        <v>4</v>
      </c>
    </row>
    <row r="26" spans="1:11" ht="15" customHeight="1" x14ac:dyDescent="0.2">
      <c r="A26" s="51" t="s">
        <v>5</v>
      </c>
      <c r="B26" s="62" t="s">
        <v>54</v>
      </c>
      <c r="C26" s="62" t="s">
        <v>54</v>
      </c>
      <c r="D26" s="62" t="s">
        <v>54</v>
      </c>
      <c r="E26" s="62" t="s">
        <v>54</v>
      </c>
      <c r="F26" s="62" t="s">
        <v>54</v>
      </c>
      <c r="G26" s="62" t="s">
        <v>54</v>
      </c>
      <c r="H26" s="62" t="s">
        <v>54</v>
      </c>
      <c r="I26" s="62" t="s">
        <v>54</v>
      </c>
      <c r="J26" s="62" t="s">
        <v>54</v>
      </c>
      <c r="K26" s="62" t="s">
        <v>54</v>
      </c>
    </row>
    <row r="27" spans="1:11" ht="15" customHeight="1" x14ac:dyDescent="0.2">
      <c r="A27" s="52" t="s">
        <v>44</v>
      </c>
      <c r="B27" s="62" t="s">
        <v>54</v>
      </c>
      <c r="C27" s="62" t="s">
        <v>54</v>
      </c>
      <c r="D27" s="62" t="s">
        <v>54</v>
      </c>
      <c r="E27" s="62" t="s">
        <v>54</v>
      </c>
      <c r="F27" s="62" t="s">
        <v>54</v>
      </c>
      <c r="G27" s="62" t="s">
        <v>54</v>
      </c>
      <c r="H27" s="62" t="s">
        <v>54</v>
      </c>
      <c r="I27" s="62" t="s">
        <v>54</v>
      </c>
      <c r="J27" s="62" t="s">
        <v>54</v>
      </c>
      <c r="K27" s="62" t="s">
        <v>54</v>
      </c>
    </row>
    <row r="28" spans="1:11" ht="15" customHeight="1" x14ac:dyDescent="0.2">
      <c r="A28" s="52" t="s">
        <v>45</v>
      </c>
      <c r="B28" s="62" t="s">
        <v>54</v>
      </c>
      <c r="C28" s="62" t="s">
        <v>54</v>
      </c>
      <c r="D28" s="62" t="s">
        <v>54</v>
      </c>
      <c r="E28" s="62" t="s">
        <v>54</v>
      </c>
      <c r="F28" s="62" t="s">
        <v>54</v>
      </c>
      <c r="G28" s="62" t="s">
        <v>54</v>
      </c>
      <c r="H28" s="62" t="s">
        <v>54</v>
      </c>
      <c r="I28" s="62" t="s">
        <v>54</v>
      </c>
      <c r="J28" s="62" t="s">
        <v>54</v>
      </c>
      <c r="K28" s="62" t="s">
        <v>54</v>
      </c>
    </row>
    <row r="29" spans="1:11" ht="15" customHeight="1" x14ac:dyDescent="0.2">
      <c r="A29" s="52" t="s">
        <v>46</v>
      </c>
      <c r="B29" s="62" t="s">
        <v>54</v>
      </c>
      <c r="C29" s="62" t="s">
        <v>54</v>
      </c>
      <c r="D29" s="62" t="s">
        <v>54</v>
      </c>
      <c r="E29" s="62" t="s">
        <v>54</v>
      </c>
      <c r="F29" s="62" t="s">
        <v>54</v>
      </c>
      <c r="G29" s="62" t="s">
        <v>54</v>
      </c>
      <c r="H29" s="62" t="s">
        <v>54</v>
      </c>
      <c r="I29" s="62" t="s">
        <v>54</v>
      </c>
      <c r="J29" s="62" t="s">
        <v>54</v>
      </c>
      <c r="K29" s="62" t="s">
        <v>54</v>
      </c>
    </row>
    <row r="30" spans="1:11" ht="15" customHeight="1" x14ac:dyDescent="0.2">
      <c r="A30" s="51" t="s">
        <v>6</v>
      </c>
      <c r="B30" s="62" t="s">
        <v>54</v>
      </c>
      <c r="C30" s="62" t="s">
        <v>54</v>
      </c>
      <c r="D30" s="62" t="s">
        <v>54</v>
      </c>
      <c r="E30" s="62" t="s">
        <v>54</v>
      </c>
      <c r="F30" s="62" t="s">
        <v>54</v>
      </c>
      <c r="G30" s="62" t="s">
        <v>54</v>
      </c>
      <c r="H30" s="62" t="s">
        <v>54</v>
      </c>
      <c r="I30" s="62" t="s">
        <v>54</v>
      </c>
      <c r="J30" s="62" t="s">
        <v>54</v>
      </c>
      <c r="K30" s="62" t="s">
        <v>54</v>
      </c>
    </row>
    <row r="31" spans="1:11" ht="15" customHeight="1" x14ac:dyDescent="0.2">
      <c r="A31" s="52" t="s">
        <v>44</v>
      </c>
      <c r="B31" s="62" t="s">
        <v>54</v>
      </c>
      <c r="C31" s="62" t="s">
        <v>54</v>
      </c>
      <c r="D31" s="62" t="s">
        <v>54</v>
      </c>
      <c r="E31" s="62" t="s">
        <v>54</v>
      </c>
      <c r="F31" s="62" t="s">
        <v>54</v>
      </c>
      <c r="G31" s="62" t="s">
        <v>54</v>
      </c>
      <c r="H31" s="62" t="s">
        <v>54</v>
      </c>
      <c r="I31" s="62" t="s">
        <v>54</v>
      </c>
      <c r="J31" s="62" t="s">
        <v>54</v>
      </c>
      <c r="K31" s="62" t="s">
        <v>54</v>
      </c>
    </row>
    <row r="32" spans="1:11" ht="15" customHeight="1" x14ac:dyDescent="0.2">
      <c r="A32" s="52" t="s">
        <v>45</v>
      </c>
      <c r="B32" s="62" t="s">
        <v>54</v>
      </c>
      <c r="C32" s="62" t="s">
        <v>54</v>
      </c>
      <c r="D32" s="62" t="s">
        <v>54</v>
      </c>
      <c r="E32" s="62" t="s">
        <v>54</v>
      </c>
      <c r="F32" s="62" t="s">
        <v>54</v>
      </c>
      <c r="G32" s="62" t="s">
        <v>54</v>
      </c>
      <c r="H32" s="62" t="s">
        <v>54</v>
      </c>
      <c r="I32" s="62" t="s">
        <v>54</v>
      </c>
      <c r="J32" s="62" t="s">
        <v>54</v>
      </c>
      <c r="K32" s="62" t="s">
        <v>54</v>
      </c>
    </row>
    <row r="33" spans="1:11" ht="15" customHeight="1" x14ac:dyDescent="0.2">
      <c r="A33" s="52" t="s">
        <v>46</v>
      </c>
      <c r="B33" s="62" t="s">
        <v>54</v>
      </c>
      <c r="C33" s="62" t="s">
        <v>54</v>
      </c>
      <c r="D33" s="62" t="s">
        <v>54</v>
      </c>
      <c r="E33" s="62" t="s">
        <v>54</v>
      </c>
      <c r="F33" s="62" t="s">
        <v>54</v>
      </c>
      <c r="G33" s="62" t="s">
        <v>54</v>
      </c>
      <c r="H33" s="62" t="s">
        <v>54</v>
      </c>
      <c r="I33" s="62" t="s">
        <v>54</v>
      </c>
      <c r="J33" s="62" t="s">
        <v>54</v>
      </c>
      <c r="K33" s="62" t="s">
        <v>54</v>
      </c>
    </row>
    <row r="34" spans="1:11" ht="15" customHeight="1" x14ac:dyDescent="0.2">
      <c r="A34" s="51" t="s">
        <v>7</v>
      </c>
      <c r="B34" s="62" t="s">
        <v>54</v>
      </c>
      <c r="C34" s="62" t="s">
        <v>54</v>
      </c>
      <c r="D34" s="62" t="s">
        <v>54</v>
      </c>
      <c r="E34" s="62" t="s">
        <v>54</v>
      </c>
      <c r="F34" s="62" t="s">
        <v>54</v>
      </c>
      <c r="G34" s="62" t="s">
        <v>54</v>
      </c>
      <c r="H34" s="62" t="s">
        <v>54</v>
      </c>
      <c r="I34" s="62" t="s">
        <v>54</v>
      </c>
      <c r="J34" s="62" t="s">
        <v>54</v>
      </c>
      <c r="K34" s="62" t="s">
        <v>54</v>
      </c>
    </row>
    <row r="35" spans="1:11" ht="15" customHeight="1" x14ac:dyDescent="0.2">
      <c r="A35" s="52" t="s">
        <v>44</v>
      </c>
      <c r="B35" s="62" t="s">
        <v>54</v>
      </c>
      <c r="C35" s="62" t="s">
        <v>54</v>
      </c>
      <c r="D35" s="62" t="s">
        <v>54</v>
      </c>
      <c r="E35" s="62" t="s">
        <v>54</v>
      </c>
      <c r="F35" s="62" t="s">
        <v>54</v>
      </c>
      <c r="G35" s="62" t="s">
        <v>54</v>
      </c>
      <c r="H35" s="62" t="s">
        <v>54</v>
      </c>
      <c r="I35" s="62" t="s">
        <v>54</v>
      </c>
      <c r="J35" s="62" t="s">
        <v>54</v>
      </c>
      <c r="K35" s="62" t="s">
        <v>54</v>
      </c>
    </row>
    <row r="36" spans="1:11" ht="15" customHeight="1" x14ac:dyDescent="0.2">
      <c r="A36" s="52" t="s">
        <v>45</v>
      </c>
      <c r="B36" s="62" t="s">
        <v>54</v>
      </c>
      <c r="C36" s="62" t="s">
        <v>54</v>
      </c>
      <c r="D36" s="62" t="s">
        <v>54</v>
      </c>
      <c r="E36" s="62" t="s">
        <v>54</v>
      </c>
      <c r="F36" s="62" t="s">
        <v>54</v>
      </c>
      <c r="G36" s="62" t="s">
        <v>54</v>
      </c>
      <c r="H36" s="62" t="s">
        <v>54</v>
      </c>
      <c r="I36" s="62" t="s">
        <v>54</v>
      </c>
      <c r="J36" s="62" t="s">
        <v>54</v>
      </c>
      <c r="K36" s="62" t="s">
        <v>54</v>
      </c>
    </row>
    <row r="37" spans="1:11" ht="15" customHeight="1" x14ac:dyDescent="0.2">
      <c r="A37" s="52" t="s">
        <v>46</v>
      </c>
      <c r="B37" s="62" t="s">
        <v>54</v>
      </c>
      <c r="C37" s="62" t="s">
        <v>54</v>
      </c>
      <c r="D37" s="62" t="s">
        <v>54</v>
      </c>
      <c r="E37" s="62" t="s">
        <v>54</v>
      </c>
      <c r="F37" s="62" t="s">
        <v>54</v>
      </c>
      <c r="G37" s="62" t="s">
        <v>54</v>
      </c>
      <c r="H37" s="62" t="s">
        <v>54</v>
      </c>
      <c r="I37" s="62" t="s">
        <v>54</v>
      </c>
      <c r="J37" s="62" t="s">
        <v>54</v>
      </c>
      <c r="K37" s="62" t="s">
        <v>54</v>
      </c>
    </row>
    <row r="38" spans="1:11" ht="15" customHeight="1" x14ac:dyDescent="0.2">
      <c r="A38" s="51" t="s">
        <v>8</v>
      </c>
      <c r="B38" s="62" t="s">
        <v>54</v>
      </c>
      <c r="C38" s="62" t="s">
        <v>54</v>
      </c>
      <c r="D38" s="62" t="s">
        <v>54</v>
      </c>
      <c r="E38" s="62" t="s">
        <v>54</v>
      </c>
      <c r="F38" s="62" t="s">
        <v>54</v>
      </c>
      <c r="G38" s="62" t="s">
        <v>54</v>
      </c>
      <c r="H38" s="62" t="s">
        <v>54</v>
      </c>
      <c r="I38" s="62" t="s">
        <v>54</v>
      </c>
      <c r="J38" s="62" t="s">
        <v>54</v>
      </c>
      <c r="K38" s="62" t="s">
        <v>54</v>
      </c>
    </row>
    <row r="39" spans="1:11" ht="15" customHeight="1" x14ac:dyDescent="0.2">
      <c r="A39" s="52" t="s">
        <v>44</v>
      </c>
      <c r="B39" s="62" t="s">
        <v>54</v>
      </c>
      <c r="C39" s="62" t="s">
        <v>54</v>
      </c>
      <c r="D39" s="62" t="s">
        <v>54</v>
      </c>
      <c r="E39" s="62" t="s">
        <v>54</v>
      </c>
      <c r="F39" s="62" t="s">
        <v>54</v>
      </c>
      <c r="G39" s="62" t="s">
        <v>54</v>
      </c>
      <c r="H39" s="62" t="s">
        <v>54</v>
      </c>
      <c r="I39" s="62" t="s">
        <v>54</v>
      </c>
      <c r="J39" s="62" t="s">
        <v>54</v>
      </c>
      <c r="K39" s="62" t="s">
        <v>54</v>
      </c>
    </row>
    <row r="40" spans="1:11" ht="15" customHeight="1" x14ac:dyDescent="0.2">
      <c r="A40" s="52" t="s">
        <v>45</v>
      </c>
      <c r="B40" s="62" t="s">
        <v>54</v>
      </c>
      <c r="C40" s="62" t="s">
        <v>54</v>
      </c>
      <c r="D40" s="62" t="s">
        <v>54</v>
      </c>
      <c r="E40" s="62" t="s">
        <v>54</v>
      </c>
      <c r="F40" s="62" t="s">
        <v>54</v>
      </c>
      <c r="G40" s="62" t="s">
        <v>54</v>
      </c>
      <c r="H40" s="62" t="s">
        <v>54</v>
      </c>
      <c r="I40" s="62" t="s">
        <v>54</v>
      </c>
      <c r="J40" s="62" t="s">
        <v>54</v>
      </c>
      <c r="K40" s="62" t="s">
        <v>54</v>
      </c>
    </row>
    <row r="41" spans="1:11" ht="15" customHeight="1" thickBot="1" x14ac:dyDescent="0.25">
      <c r="A41" s="52" t="s">
        <v>46</v>
      </c>
      <c r="B41" s="62" t="s">
        <v>54</v>
      </c>
      <c r="C41" s="62" t="s">
        <v>54</v>
      </c>
      <c r="D41" s="62" t="s">
        <v>54</v>
      </c>
      <c r="E41" s="62" t="s">
        <v>54</v>
      </c>
      <c r="F41" s="62" t="s">
        <v>54</v>
      </c>
      <c r="G41" s="62" t="s">
        <v>54</v>
      </c>
      <c r="H41" s="62" t="s">
        <v>54</v>
      </c>
      <c r="I41" s="62" t="s">
        <v>54</v>
      </c>
      <c r="J41" s="62" t="s">
        <v>54</v>
      </c>
      <c r="K41" s="62" t="s">
        <v>54</v>
      </c>
    </row>
    <row r="42" spans="1:11" ht="15" customHeight="1" thickBot="1" x14ac:dyDescent="0.25">
      <c r="A42" s="123" t="s">
        <v>16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7"/>
    </row>
    <row r="43" spans="1:11" ht="15" customHeight="1" x14ac:dyDescent="0.2">
      <c r="A43" s="49"/>
      <c r="B43" s="118" t="s">
        <v>51</v>
      </c>
      <c r="C43" s="119"/>
      <c r="D43" s="118" t="s">
        <v>50</v>
      </c>
      <c r="E43" s="119"/>
      <c r="F43" s="118" t="s">
        <v>53</v>
      </c>
      <c r="G43" s="119"/>
      <c r="H43" s="118" t="s">
        <v>49</v>
      </c>
      <c r="I43" s="119"/>
      <c r="J43" s="120" t="s">
        <v>48</v>
      </c>
      <c r="K43" s="121"/>
    </row>
    <row r="44" spans="1:11" ht="15" customHeight="1" x14ac:dyDescent="0.2">
      <c r="A44" s="50" t="s">
        <v>2</v>
      </c>
      <c r="B44" s="55" t="s">
        <v>33</v>
      </c>
      <c r="C44" s="57" t="s">
        <v>4</v>
      </c>
      <c r="D44" s="57" t="s">
        <v>33</v>
      </c>
      <c r="E44" s="57" t="s">
        <v>4</v>
      </c>
      <c r="F44" s="57" t="s">
        <v>33</v>
      </c>
      <c r="G44" s="57" t="s">
        <v>4</v>
      </c>
      <c r="H44" s="57" t="s">
        <v>33</v>
      </c>
      <c r="I44" s="57" t="s">
        <v>4</v>
      </c>
      <c r="J44" s="57" t="s">
        <v>33</v>
      </c>
      <c r="K44" s="58" t="s">
        <v>4</v>
      </c>
    </row>
    <row r="45" spans="1:11" ht="15" customHeight="1" x14ac:dyDescent="0.2">
      <c r="A45" s="51" t="s">
        <v>5</v>
      </c>
      <c r="B45" s="59">
        <v>0.67</v>
      </c>
      <c r="C45" s="59">
        <v>0.56000000000000005</v>
      </c>
      <c r="D45" s="59">
        <f>0.2547+0.3821</f>
        <v>0.63680000000000003</v>
      </c>
      <c r="E45" s="59">
        <f>0.27+0.3</f>
        <v>0.57000000000000006</v>
      </c>
      <c r="F45" s="59">
        <f>0.2536+0.3899</f>
        <v>0.64349999999999996</v>
      </c>
      <c r="G45" s="59">
        <f>0.29+0.3</f>
        <v>0.59</v>
      </c>
      <c r="H45" s="59">
        <f>0.2961+0.3306</f>
        <v>0.62670000000000003</v>
      </c>
      <c r="I45" s="59">
        <f>0.2561+0.2919</f>
        <v>0.54800000000000004</v>
      </c>
      <c r="J45" s="59">
        <f>0.2537+0.3488</f>
        <v>0.60250000000000004</v>
      </c>
      <c r="K45" s="60">
        <f>0.26+0.294</f>
        <v>0.55400000000000005</v>
      </c>
    </row>
    <row r="46" spans="1:11" ht="15" customHeight="1" x14ac:dyDescent="0.2">
      <c r="A46" s="52" t="s">
        <v>44</v>
      </c>
      <c r="B46" s="64">
        <v>0.16</v>
      </c>
      <c r="C46" s="64">
        <v>0.15</v>
      </c>
      <c r="D46" s="64">
        <f>0.0667+0.1667</f>
        <v>0.2334</v>
      </c>
      <c r="E46" s="64">
        <f>0.04+0.12</f>
        <v>0.16</v>
      </c>
      <c r="F46" s="64">
        <f>0.1579+0.0263</f>
        <v>0.1842</v>
      </c>
      <c r="G46" s="64">
        <f>0.0393+0.129</f>
        <v>0.16830000000000001</v>
      </c>
      <c r="H46" s="64">
        <v>0.04</v>
      </c>
      <c r="I46" s="64">
        <f>0.0353+0.1188</f>
        <v>0.15410000000000001</v>
      </c>
      <c r="J46" s="64">
        <v>0.08</v>
      </c>
      <c r="K46" s="73">
        <v>0.17</v>
      </c>
    </row>
    <row r="47" spans="1:11" ht="15" customHeight="1" x14ac:dyDescent="0.2">
      <c r="A47" s="52" t="s">
        <v>45</v>
      </c>
      <c r="B47" s="64">
        <v>0.03</v>
      </c>
      <c r="C47" s="64">
        <v>7.0000000000000007E-2</v>
      </c>
      <c r="D47" s="64">
        <v>0.03</v>
      </c>
      <c r="E47" s="64">
        <v>0.08</v>
      </c>
      <c r="F47" s="64">
        <v>0.03</v>
      </c>
      <c r="G47" s="64">
        <v>0.11</v>
      </c>
      <c r="H47" s="64">
        <v>0.02</v>
      </c>
      <c r="I47" s="64">
        <v>0.08</v>
      </c>
      <c r="J47" s="64">
        <v>0.06</v>
      </c>
      <c r="K47" s="73">
        <v>0.08</v>
      </c>
    </row>
    <row r="48" spans="1:11" ht="15" customHeight="1" x14ac:dyDescent="0.2">
      <c r="A48" s="52" t="s">
        <v>46</v>
      </c>
      <c r="B48" s="64">
        <v>0.62</v>
      </c>
      <c r="C48" s="64">
        <v>0.46</v>
      </c>
      <c r="D48" s="64">
        <v>0.59</v>
      </c>
      <c r="E48" s="64">
        <v>0.47</v>
      </c>
      <c r="F48" s="64">
        <f>0.2191+0.3736</f>
        <v>0.5927</v>
      </c>
      <c r="G48" s="64">
        <f>0.1977+0.3013</f>
        <v>0.499</v>
      </c>
      <c r="H48" s="64">
        <f>0.25+0.327</f>
        <v>0.57699999999999996</v>
      </c>
      <c r="I48" s="64">
        <f>0.1697+0.2809</f>
        <v>0.4506</v>
      </c>
      <c r="J48" s="64">
        <f>0.1925+0.3564</f>
        <v>0.54889999999999994</v>
      </c>
      <c r="K48" s="73">
        <f>0.1787+0.2857</f>
        <v>0.46440000000000003</v>
      </c>
    </row>
    <row r="49" spans="1:11" ht="15" customHeight="1" x14ac:dyDescent="0.2">
      <c r="A49" s="51" t="s">
        <v>6</v>
      </c>
      <c r="B49" s="70">
        <v>0.38</v>
      </c>
      <c r="C49" s="70">
        <v>0.31</v>
      </c>
      <c r="D49" s="70">
        <f>0.1087+0.2579</f>
        <v>0.36660000000000004</v>
      </c>
      <c r="E49" s="70">
        <f>0.1385+0.1839</f>
        <v>0.32240000000000002</v>
      </c>
      <c r="F49" s="70">
        <f>0.0586+0.1726</f>
        <v>0.23120000000000002</v>
      </c>
      <c r="G49" s="70">
        <f>0.155+0.1885</f>
        <v>0.34350000000000003</v>
      </c>
      <c r="H49" s="70">
        <f>0.1021+0.174</f>
        <v>0.27610000000000001</v>
      </c>
      <c r="I49" s="70">
        <f>0.1184+0.1513</f>
        <v>0.2697</v>
      </c>
      <c r="J49" s="70">
        <f>0.0844+0.1941</f>
        <v>0.27849999999999997</v>
      </c>
      <c r="K49" s="71">
        <f>0.12+0.15</f>
        <v>0.27</v>
      </c>
    </row>
    <row r="50" spans="1:11" ht="15" customHeight="1" x14ac:dyDescent="0.2">
      <c r="A50" s="52" t="s">
        <v>44</v>
      </c>
      <c r="B50" s="64">
        <v>0.05</v>
      </c>
      <c r="C50" s="64">
        <v>0.05</v>
      </c>
      <c r="D50" s="64">
        <v>7.0000000000000007E-2</v>
      </c>
      <c r="E50" s="64">
        <v>0.05</v>
      </c>
      <c r="F50" s="64">
        <v>0.05</v>
      </c>
      <c r="G50" s="64">
        <f>0.0185+0.0381</f>
        <v>5.6599999999999998E-2</v>
      </c>
      <c r="H50" s="64">
        <v>0.02</v>
      </c>
      <c r="I50" s="64">
        <f>0.0129+0.0261</f>
        <v>3.9E-2</v>
      </c>
      <c r="J50" s="64">
        <v>0.04</v>
      </c>
      <c r="K50" s="73">
        <f>0.0155+0.0292</f>
        <v>4.4700000000000004E-2</v>
      </c>
    </row>
    <row r="51" spans="1:11" ht="15" customHeight="1" x14ac:dyDescent="0.2">
      <c r="A51" s="52" t="s">
        <v>45</v>
      </c>
      <c r="B51" s="64">
        <v>0.06</v>
      </c>
      <c r="C51" s="64">
        <v>0.05</v>
      </c>
      <c r="D51" s="64">
        <v>0.03</v>
      </c>
      <c r="E51" s="64">
        <v>0.05</v>
      </c>
      <c r="F51" s="64">
        <v>0</v>
      </c>
      <c r="G51" s="64">
        <f>0.0165+0.0471</f>
        <v>6.3600000000000004E-2</v>
      </c>
      <c r="H51" s="64">
        <v>0</v>
      </c>
      <c r="I51" s="64">
        <v>0.03</v>
      </c>
      <c r="J51" s="64">
        <v>0</v>
      </c>
      <c r="K51" s="73">
        <v>0.03</v>
      </c>
    </row>
    <row r="52" spans="1:11" ht="15" customHeight="1" x14ac:dyDescent="0.2">
      <c r="A52" s="52" t="s">
        <v>46</v>
      </c>
      <c r="B52" s="64">
        <v>0.32</v>
      </c>
      <c r="C52" s="64">
        <v>0.2</v>
      </c>
      <c r="D52" s="64">
        <v>0.32</v>
      </c>
      <c r="E52" s="64">
        <v>0.21</v>
      </c>
      <c r="F52" s="64">
        <f>0.0432+0.1297</f>
        <v>0.1729</v>
      </c>
      <c r="G52" s="64">
        <f>0.0757+0.1567</f>
        <v>0.2324</v>
      </c>
      <c r="H52" s="64">
        <f>0.081+0.1599</f>
        <v>0.2409</v>
      </c>
      <c r="I52" s="64">
        <f>0.0529+0.1116</f>
        <v>0.16450000000000001</v>
      </c>
      <c r="J52" s="64">
        <v>0.22</v>
      </c>
      <c r="K52" s="73">
        <f>0.0547+0.1147</f>
        <v>0.1694</v>
      </c>
    </row>
    <row r="53" spans="1:11" ht="15" customHeight="1" x14ac:dyDescent="0.2">
      <c r="A53" s="51" t="s">
        <v>7</v>
      </c>
      <c r="B53" s="62" t="s">
        <v>54</v>
      </c>
      <c r="C53" s="62" t="s">
        <v>54</v>
      </c>
      <c r="D53" s="70">
        <v>0.27</v>
      </c>
      <c r="E53" s="70">
        <v>0.3</v>
      </c>
      <c r="F53" s="62" t="s">
        <v>54</v>
      </c>
      <c r="G53" s="70">
        <v>0.31</v>
      </c>
      <c r="H53" s="70">
        <v>0.31</v>
      </c>
      <c r="I53" s="70">
        <v>0.31</v>
      </c>
      <c r="J53" s="70">
        <v>0.32</v>
      </c>
      <c r="K53" s="72">
        <v>0.32</v>
      </c>
    </row>
    <row r="54" spans="1:11" ht="15" customHeight="1" x14ac:dyDescent="0.2">
      <c r="A54" s="52" t="s">
        <v>44</v>
      </c>
      <c r="B54" s="62" t="s">
        <v>54</v>
      </c>
      <c r="C54" s="62" t="s">
        <v>54</v>
      </c>
      <c r="D54" s="64">
        <v>7.0000000000000007E-2</v>
      </c>
      <c r="E54" s="64">
        <v>0.06</v>
      </c>
      <c r="F54" s="62" t="s">
        <v>54</v>
      </c>
      <c r="G54" s="64">
        <v>0.06</v>
      </c>
      <c r="H54" s="64">
        <v>0</v>
      </c>
      <c r="I54" s="64">
        <v>0.06</v>
      </c>
      <c r="J54" s="64">
        <v>0.04</v>
      </c>
      <c r="K54" s="73">
        <v>7.0000000000000007E-2</v>
      </c>
    </row>
    <row r="55" spans="1:11" ht="15" customHeight="1" x14ac:dyDescent="0.2">
      <c r="A55" s="52" t="s">
        <v>45</v>
      </c>
      <c r="B55" s="62" t="s">
        <v>54</v>
      </c>
      <c r="C55" s="62" t="s">
        <v>54</v>
      </c>
      <c r="D55" s="64">
        <v>0</v>
      </c>
      <c r="E55" s="64">
        <v>0.02</v>
      </c>
      <c r="F55" s="62" t="s">
        <v>54</v>
      </c>
      <c r="G55" s="64">
        <v>0.02</v>
      </c>
      <c r="H55" s="64">
        <v>0</v>
      </c>
      <c r="I55" s="64">
        <v>0.01</v>
      </c>
      <c r="J55" s="64">
        <v>0.01</v>
      </c>
      <c r="K55" s="73">
        <v>0.01</v>
      </c>
    </row>
    <row r="56" spans="1:11" ht="15" customHeight="1" x14ac:dyDescent="0.2">
      <c r="A56" s="52" t="s">
        <v>46</v>
      </c>
      <c r="B56" s="62" t="s">
        <v>54</v>
      </c>
      <c r="C56" s="62" t="s">
        <v>54</v>
      </c>
      <c r="D56" s="64">
        <v>0.22</v>
      </c>
      <c r="E56" s="64">
        <v>0.2</v>
      </c>
      <c r="F56" s="62" t="s">
        <v>54</v>
      </c>
      <c r="G56" s="64">
        <v>0.21</v>
      </c>
      <c r="H56" s="64">
        <v>0.25</v>
      </c>
      <c r="I56" s="64">
        <v>0.2</v>
      </c>
      <c r="J56" s="64">
        <v>0.27</v>
      </c>
      <c r="K56" s="73">
        <v>0.21</v>
      </c>
    </row>
    <row r="57" spans="1:11" ht="15" customHeight="1" x14ac:dyDescent="0.2">
      <c r="A57" s="51" t="s">
        <v>8</v>
      </c>
      <c r="B57" s="62" t="s">
        <v>54</v>
      </c>
      <c r="C57" s="62" t="s">
        <v>54</v>
      </c>
      <c r="D57" s="62" t="s">
        <v>54</v>
      </c>
      <c r="E57" s="62" t="s">
        <v>54</v>
      </c>
      <c r="F57" s="62" t="s">
        <v>54</v>
      </c>
      <c r="G57" s="62" t="s">
        <v>54</v>
      </c>
      <c r="H57" s="62" t="s">
        <v>54</v>
      </c>
      <c r="I57" s="62" t="s">
        <v>54</v>
      </c>
      <c r="J57" s="62" t="s">
        <v>54</v>
      </c>
      <c r="K57" s="62" t="s">
        <v>54</v>
      </c>
    </row>
    <row r="58" spans="1:11" ht="15" customHeight="1" x14ac:dyDescent="0.2">
      <c r="A58" s="52" t="s">
        <v>44</v>
      </c>
      <c r="B58" s="62" t="s">
        <v>54</v>
      </c>
      <c r="C58" s="62" t="s">
        <v>54</v>
      </c>
      <c r="D58" s="62" t="s">
        <v>54</v>
      </c>
      <c r="E58" s="62" t="s">
        <v>54</v>
      </c>
      <c r="F58" s="62" t="s">
        <v>54</v>
      </c>
      <c r="G58" s="62" t="s">
        <v>54</v>
      </c>
      <c r="H58" s="62" t="s">
        <v>54</v>
      </c>
      <c r="I58" s="62" t="s">
        <v>54</v>
      </c>
      <c r="J58" s="62" t="s">
        <v>54</v>
      </c>
      <c r="K58" s="62" t="s">
        <v>54</v>
      </c>
    </row>
    <row r="59" spans="1:11" ht="15" customHeight="1" x14ac:dyDescent="0.2">
      <c r="A59" s="52" t="s">
        <v>45</v>
      </c>
      <c r="B59" s="62" t="s">
        <v>54</v>
      </c>
      <c r="C59" s="62" t="s">
        <v>54</v>
      </c>
      <c r="D59" s="62" t="s">
        <v>54</v>
      </c>
      <c r="E59" s="62" t="s">
        <v>54</v>
      </c>
      <c r="F59" s="62" t="s">
        <v>54</v>
      </c>
      <c r="G59" s="62" t="s">
        <v>54</v>
      </c>
      <c r="H59" s="62" t="s">
        <v>54</v>
      </c>
      <c r="I59" s="62" t="s">
        <v>54</v>
      </c>
      <c r="J59" s="62" t="s">
        <v>54</v>
      </c>
      <c r="K59" s="62" t="s">
        <v>54</v>
      </c>
    </row>
    <row r="60" spans="1:11" ht="15" customHeight="1" x14ac:dyDescent="0.2">
      <c r="A60" s="52" t="s">
        <v>46</v>
      </c>
      <c r="B60" s="62" t="s">
        <v>54</v>
      </c>
      <c r="C60" s="62" t="s">
        <v>54</v>
      </c>
      <c r="D60" s="62" t="s">
        <v>54</v>
      </c>
      <c r="E60" s="62" t="s">
        <v>54</v>
      </c>
      <c r="F60" s="62" t="s">
        <v>54</v>
      </c>
      <c r="G60" s="62" t="s">
        <v>54</v>
      </c>
      <c r="H60" s="62" t="s">
        <v>54</v>
      </c>
      <c r="I60" s="62" t="s">
        <v>54</v>
      </c>
      <c r="J60" s="62" t="s">
        <v>54</v>
      </c>
      <c r="K60" s="62" t="s">
        <v>54</v>
      </c>
    </row>
  </sheetData>
  <mergeCells count="21">
    <mergeCell ref="A42:K42"/>
    <mergeCell ref="B43:C43"/>
    <mergeCell ref="D43:E43"/>
    <mergeCell ref="F43:G43"/>
    <mergeCell ref="H43:I43"/>
    <mergeCell ref="J43:K43"/>
    <mergeCell ref="A23:K23"/>
    <mergeCell ref="B24:C24"/>
    <mergeCell ref="D24:E24"/>
    <mergeCell ref="F24:G24"/>
    <mergeCell ref="H24:I24"/>
    <mergeCell ref="J24:K24"/>
    <mergeCell ref="A1:K1"/>
    <mergeCell ref="A2:K2"/>
    <mergeCell ref="A3:K3"/>
    <mergeCell ref="A4:K4"/>
    <mergeCell ref="B5:C5"/>
    <mergeCell ref="D5:E5"/>
    <mergeCell ref="F5:G5"/>
    <mergeCell ref="H5:I5"/>
    <mergeCell ref="J5:K5"/>
  </mergeCells>
  <printOptions horizontalCentered="1"/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85FE5-A5F7-9147-863E-CB786FFC166A}">
  <sheetPr>
    <pageSetUpPr fitToPage="1"/>
  </sheetPr>
  <dimension ref="A1:Z1045"/>
  <sheetViews>
    <sheetView tabSelected="1" zoomScale="140" zoomScaleNormal="140" zoomScaleSheetLayoutView="96" workbookViewId="0">
      <selection activeCell="K52" sqref="K52"/>
    </sheetView>
  </sheetViews>
  <sheetFormatPr baseColWidth="10" defaultColWidth="14.5" defaultRowHeight="15" customHeight="1" x14ac:dyDescent="0.2"/>
  <cols>
    <col min="1" max="1" width="36" style="7" customWidth="1"/>
    <col min="2" max="2" width="18.5" style="7" customWidth="1"/>
    <col min="3" max="4" width="10.6640625" style="7" customWidth="1"/>
    <col min="5" max="5" width="24" style="7" customWidth="1"/>
    <col min="6" max="7" width="10.6640625" style="7" customWidth="1"/>
    <col min="8" max="8" width="22.5" style="7" customWidth="1"/>
    <col min="9" max="10" width="10.6640625" style="7" customWidth="1"/>
    <col min="11" max="11" width="23.5" style="7" customWidth="1"/>
    <col min="12" max="26" width="10.6640625" style="7" customWidth="1"/>
    <col min="27" max="16384" width="14.5" style="7"/>
  </cols>
  <sheetData>
    <row r="1" spans="1:26" ht="19.5" customHeight="1" x14ac:dyDescent="0.2">
      <c r="A1" s="12"/>
      <c r="B1" s="135" t="s">
        <v>17</v>
      </c>
      <c r="C1" s="136"/>
      <c r="D1" s="136"/>
      <c r="E1" s="136"/>
      <c r="F1" s="136"/>
      <c r="G1" s="136"/>
      <c r="H1" s="136"/>
      <c r="I1" s="136"/>
      <c r="J1" s="136"/>
      <c r="K1" s="137"/>
      <c r="L1" s="137"/>
      <c r="M1" s="13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33"/>
      <c r="B2" s="139" t="s">
        <v>35</v>
      </c>
      <c r="C2" s="140"/>
      <c r="D2" s="140"/>
      <c r="E2" s="140"/>
      <c r="F2" s="140"/>
      <c r="G2" s="140"/>
      <c r="H2" s="140"/>
      <c r="I2" s="140"/>
      <c r="J2" s="140"/>
      <c r="K2" s="141"/>
      <c r="L2" s="141"/>
      <c r="M2" s="14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3"/>
      <c r="B3" s="133" t="s">
        <v>61</v>
      </c>
      <c r="C3" s="133"/>
      <c r="D3" s="133"/>
      <c r="E3" s="133" t="s">
        <v>60</v>
      </c>
      <c r="F3" s="133"/>
      <c r="G3" s="133"/>
      <c r="H3" s="133" t="s">
        <v>49</v>
      </c>
      <c r="I3" s="133"/>
      <c r="J3" s="133"/>
      <c r="K3" s="133" t="s">
        <v>48</v>
      </c>
      <c r="L3" s="133"/>
      <c r="M3" s="13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4" t="s">
        <v>2</v>
      </c>
      <c r="B4" s="5" t="s">
        <v>3</v>
      </c>
      <c r="C4" s="5" t="s">
        <v>4</v>
      </c>
      <c r="D4" s="5" t="s">
        <v>18</v>
      </c>
      <c r="E4" s="5" t="s">
        <v>3</v>
      </c>
      <c r="F4" s="5" t="s">
        <v>4</v>
      </c>
      <c r="G4" s="5" t="s">
        <v>18</v>
      </c>
      <c r="H4" s="5" t="s">
        <v>3</v>
      </c>
      <c r="I4" s="5" t="s">
        <v>4</v>
      </c>
      <c r="J4" s="5" t="s">
        <v>18</v>
      </c>
      <c r="K4" s="6" t="s">
        <v>3</v>
      </c>
      <c r="L4" s="5" t="s">
        <v>4</v>
      </c>
      <c r="M4" s="15" t="s">
        <v>18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6" t="s">
        <v>19</v>
      </c>
      <c r="B5" s="69" t="s">
        <v>54</v>
      </c>
      <c r="C5" s="69" t="s">
        <v>54</v>
      </c>
      <c r="D5" s="69" t="s">
        <v>54</v>
      </c>
      <c r="E5" s="69" t="s">
        <v>54</v>
      </c>
      <c r="F5" s="69" t="s">
        <v>54</v>
      </c>
      <c r="G5" s="69" t="s">
        <v>54</v>
      </c>
      <c r="H5" s="69" t="s">
        <v>54</v>
      </c>
      <c r="I5" s="69" t="s">
        <v>54</v>
      </c>
      <c r="J5" s="69" t="s">
        <v>54</v>
      </c>
      <c r="K5" s="69" t="s">
        <v>54</v>
      </c>
      <c r="L5" s="69" t="s">
        <v>54</v>
      </c>
      <c r="M5" s="69" t="s">
        <v>54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6" t="s">
        <v>5</v>
      </c>
      <c r="B6" s="69" t="s">
        <v>54</v>
      </c>
      <c r="C6" s="69" t="s">
        <v>54</v>
      </c>
      <c r="D6" s="69" t="s">
        <v>54</v>
      </c>
      <c r="E6" s="69" t="s">
        <v>54</v>
      </c>
      <c r="F6" s="69" t="s">
        <v>54</v>
      </c>
      <c r="G6" s="69" t="s">
        <v>54</v>
      </c>
      <c r="H6" s="69" t="s">
        <v>54</v>
      </c>
      <c r="I6" s="69" t="s">
        <v>54</v>
      </c>
      <c r="J6" s="69" t="s">
        <v>54</v>
      </c>
      <c r="K6" s="69" t="s">
        <v>54</v>
      </c>
      <c r="L6" s="69" t="s">
        <v>54</v>
      </c>
      <c r="M6" s="69" t="s">
        <v>54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6" t="s">
        <v>7</v>
      </c>
      <c r="B7" s="69" t="s">
        <v>54</v>
      </c>
      <c r="C7" s="69" t="s">
        <v>54</v>
      </c>
      <c r="D7" s="69" t="s">
        <v>54</v>
      </c>
      <c r="E7" s="69" t="s">
        <v>54</v>
      </c>
      <c r="F7" s="69" t="s">
        <v>54</v>
      </c>
      <c r="G7" s="69" t="s">
        <v>54</v>
      </c>
      <c r="H7" s="69" t="s">
        <v>54</v>
      </c>
      <c r="I7" s="69" t="s">
        <v>54</v>
      </c>
      <c r="J7" s="69" t="s">
        <v>54</v>
      </c>
      <c r="K7" s="69" t="s">
        <v>54</v>
      </c>
      <c r="L7" s="69" t="s">
        <v>54</v>
      </c>
      <c r="M7" s="69" t="s">
        <v>54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6" t="s">
        <v>6</v>
      </c>
      <c r="B8" s="69" t="s">
        <v>54</v>
      </c>
      <c r="C8" s="69" t="s">
        <v>54</v>
      </c>
      <c r="D8" s="69" t="s">
        <v>54</v>
      </c>
      <c r="E8" s="69" t="s">
        <v>54</v>
      </c>
      <c r="F8" s="69" t="s">
        <v>54</v>
      </c>
      <c r="G8" s="69" t="s">
        <v>54</v>
      </c>
      <c r="H8" s="69" t="s">
        <v>54</v>
      </c>
      <c r="I8" s="69" t="s">
        <v>54</v>
      </c>
      <c r="J8" s="69" t="s">
        <v>54</v>
      </c>
      <c r="K8" s="69" t="s">
        <v>54</v>
      </c>
      <c r="L8" s="69" t="s">
        <v>54</v>
      </c>
      <c r="M8" s="69" t="s">
        <v>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thickBot="1" x14ac:dyDescent="0.25">
      <c r="A9" s="18" t="s">
        <v>20</v>
      </c>
      <c r="B9" s="19" t="e">
        <f t="shared" ref="B9:M9" si="0">AVERAGE(B5:B8)</f>
        <v>#DIV/0!</v>
      </c>
      <c r="C9" s="19" t="e">
        <f t="shared" si="0"/>
        <v>#DIV/0!</v>
      </c>
      <c r="D9" s="19" t="e">
        <f t="shared" si="0"/>
        <v>#DIV/0!</v>
      </c>
      <c r="E9" s="19" t="e">
        <f t="shared" si="0"/>
        <v>#DIV/0!</v>
      </c>
      <c r="F9" s="19" t="e">
        <f t="shared" si="0"/>
        <v>#DIV/0!</v>
      </c>
      <c r="G9" s="19" t="e">
        <f t="shared" si="0"/>
        <v>#DIV/0!</v>
      </c>
      <c r="H9" s="19" t="e">
        <f t="shared" si="0"/>
        <v>#DIV/0!</v>
      </c>
      <c r="I9" s="19" t="e">
        <f t="shared" si="0"/>
        <v>#DIV/0!</v>
      </c>
      <c r="J9" s="20" t="e">
        <f t="shared" si="0"/>
        <v>#DIV/0!</v>
      </c>
      <c r="K9" s="19" t="e">
        <f t="shared" si="0"/>
        <v>#DIV/0!</v>
      </c>
      <c r="L9" s="19" t="e">
        <f t="shared" si="0"/>
        <v>#DIV/0!</v>
      </c>
      <c r="M9" s="21" t="e">
        <f t="shared" si="0"/>
        <v>#DIV/0!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22"/>
      <c r="B12" s="135" t="s">
        <v>21</v>
      </c>
      <c r="C12" s="136"/>
      <c r="D12" s="136"/>
      <c r="E12" s="136"/>
      <c r="F12" s="136"/>
      <c r="G12" s="136"/>
      <c r="H12" s="136"/>
      <c r="I12" s="136"/>
      <c r="J12" s="136"/>
      <c r="K12" s="137"/>
      <c r="L12" s="137"/>
      <c r="M12" s="13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34"/>
      <c r="B13" s="143" t="s">
        <v>35</v>
      </c>
      <c r="C13" s="144"/>
      <c r="D13" s="144"/>
      <c r="E13" s="144"/>
      <c r="F13" s="144"/>
      <c r="G13" s="144"/>
      <c r="H13" s="144"/>
      <c r="I13" s="144"/>
      <c r="J13" s="144"/>
      <c r="K13" s="145"/>
      <c r="L13" s="145"/>
      <c r="M13" s="14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3"/>
      <c r="B14" s="133" t="s">
        <v>61</v>
      </c>
      <c r="C14" s="133"/>
      <c r="D14" s="133"/>
      <c r="E14" s="133" t="s">
        <v>60</v>
      </c>
      <c r="F14" s="133"/>
      <c r="G14" s="133"/>
      <c r="H14" s="133" t="s">
        <v>49</v>
      </c>
      <c r="I14" s="133"/>
      <c r="J14" s="133"/>
      <c r="K14" s="133" t="s">
        <v>48</v>
      </c>
      <c r="L14" s="133"/>
      <c r="M14" s="13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4" t="s">
        <v>2</v>
      </c>
      <c r="B15" s="5" t="s">
        <v>3</v>
      </c>
      <c r="C15" s="5" t="s">
        <v>4</v>
      </c>
      <c r="D15" s="5" t="s">
        <v>18</v>
      </c>
      <c r="E15" s="5" t="s">
        <v>3</v>
      </c>
      <c r="F15" s="5" t="s">
        <v>4</v>
      </c>
      <c r="G15" s="5" t="s">
        <v>18</v>
      </c>
      <c r="H15" s="5" t="s">
        <v>3</v>
      </c>
      <c r="I15" s="5" t="s">
        <v>4</v>
      </c>
      <c r="J15" s="5" t="s">
        <v>18</v>
      </c>
      <c r="K15" s="6" t="s">
        <v>3</v>
      </c>
      <c r="L15" s="5" t="s">
        <v>4</v>
      </c>
      <c r="M15" s="15" t="s">
        <v>18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6" t="s">
        <v>87</v>
      </c>
      <c r="E16" s="8" t="s">
        <v>85</v>
      </c>
      <c r="F16" s="8">
        <v>659</v>
      </c>
      <c r="G16" s="8">
        <v>609</v>
      </c>
      <c r="H16" s="8"/>
      <c r="I16" s="8"/>
      <c r="J16" s="8"/>
      <c r="K16" s="9"/>
      <c r="L16" s="8"/>
      <c r="M16" s="1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6" t="s">
        <v>89</v>
      </c>
      <c r="B17" s="8"/>
      <c r="C17" s="8"/>
      <c r="D17" s="8"/>
      <c r="E17" s="8">
        <v>541</v>
      </c>
      <c r="F17" s="8">
        <v>630</v>
      </c>
      <c r="G17" s="8">
        <v>578</v>
      </c>
      <c r="H17" s="8"/>
      <c r="I17" s="8"/>
      <c r="J17" s="8"/>
      <c r="K17" s="9"/>
      <c r="L17" s="8"/>
      <c r="M17" s="1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6" t="s">
        <v>90</v>
      </c>
      <c r="B18" s="152"/>
      <c r="C18" s="152"/>
      <c r="D18" s="152"/>
      <c r="E18" s="8" t="s">
        <v>85</v>
      </c>
      <c r="F18" s="8">
        <v>597</v>
      </c>
      <c r="G18" s="8">
        <v>552</v>
      </c>
      <c r="H18" s="8"/>
      <c r="I18" s="8"/>
      <c r="J18" s="8"/>
      <c r="K18" s="9"/>
      <c r="L18" s="8"/>
      <c r="M18" s="1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6" t="s">
        <v>91</v>
      </c>
      <c r="B19" s="152"/>
      <c r="C19" s="152"/>
      <c r="D19" s="152"/>
      <c r="E19" s="8" t="s">
        <v>85</v>
      </c>
      <c r="F19" s="8">
        <v>584</v>
      </c>
      <c r="G19" s="8">
        <v>543</v>
      </c>
      <c r="H19" s="8"/>
      <c r="I19" s="8"/>
      <c r="J19" s="8"/>
      <c r="K19" s="9"/>
      <c r="L19" s="8"/>
      <c r="M19" s="1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6" t="s">
        <v>94</v>
      </c>
      <c r="B20" s="152"/>
      <c r="C20" s="152"/>
      <c r="D20" s="152"/>
      <c r="E20" s="8"/>
      <c r="F20" s="8"/>
      <c r="G20" s="8"/>
      <c r="H20" s="8" t="s">
        <v>85</v>
      </c>
      <c r="I20" s="8">
        <v>525</v>
      </c>
      <c r="J20" s="8">
        <v>524</v>
      </c>
      <c r="K20" s="9"/>
      <c r="L20" s="8"/>
      <c r="M20" s="1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6" t="s">
        <v>95</v>
      </c>
      <c r="B21" s="152"/>
      <c r="C21" s="152"/>
      <c r="D21" s="152"/>
      <c r="E21" s="8"/>
      <c r="F21" s="8"/>
      <c r="G21" s="8"/>
      <c r="H21" s="8">
        <v>552</v>
      </c>
      <c r="I21" s="8">
        <v>596</v>
      </c>
      <c r="J21" s="8">
        <v>567</v>
      </c>
      <c r="K21" s="9"/>
      <c r="L21" s="8"/>
      <c r="M21" s="1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6" t="s">
        <v>96</v>
      </c>
      <c r="B22" s="152"/>
      <c r="C22" s="152"/>
      <c r="D22" s="152"/>
      <c r="E22" s="8"/>
      <c r="F22" s="8"/>
      <c r="G22" s="8"/>
      <c r="H22" s="8" t="s">
        <v>85</v>
      </c>
      <c r="I22" s="8">
        <v>580</v>
      </c>
      <c r="J22" s="8">
        <v>544</v>
      </c>
      <c r="K22" s="9"/>
      <c r="L22" s="8"/>
      <c r="M22" s="1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6" t="s">
        <v>97</v>
      </c>
      <c r="B23" s="152"/>
      <c r="C23" s="152"/>
      <c r="D23" s="152"/>
      <c r="E23" s="8"/>
      <c r="F23" s="8"/>
      <c r="G23" s="8"/>
      <c r="H23" s="8" t="s">
        <v>85</v>
      </c>
      <c r="I23" s="8">
        <v>652</v>
      </c>
      <c r="J23" s="8">
        <v>608</v>
      </c>
      <c r="K23" s="9"/>
      <c r="L23" s="8"/>
      <c r="M23" s="1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6" t="s">
        <v>98</v>
      </c>
      <c r="B24" s="152"/>
      <c r="C24" s="152"/>
      <c r="D24" s="152"/>
      <c r="E24" s="8"/>
      <c r="F24" s="8"/>
      <c r="G24" s="8"/>
      <c r="H24" s="8">
        <v>591</v>
      </c>
      <c r="I24" s="8">
        <v>626</v>
      </c>
      <c r="J24" s="8">
        <v>585</v>
      </c>
      <c r="K24" s="9"/>
      <c r="L24" s="8"/>
      <c r="M24" s="1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6" t="s">
        <v>99</v>
      </c>
      <c r="B25" s="152"/>
      <c r="C25" s="152"/>
      <c r="D25" s="152"/>
      <c r="E25" s="8"/>
      <c r="F25" s="8"/>
      <c r="G25" s="8"/>
      <c r="H25" s="8" t="s">
        <v>85</v>
      </c>
      <c r="I25" s="8">
        <v>593</v>
      </c>
      <c r="J25" s="8">
        <v>537</v>
      </c>
      <c r="K25" s="9"/>
      <c r="L25" s="8"/>
      <c r="M25" s="1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6" t="s">
        <v>100</v>
      </c>
      <c r="B26" s="152"/>
      <c r="C26" s="152"/>
      <c r="D26" s="152"/>
      <c r="E26" s="8"/>
      <c r="F26" s="8"/>
      <c r="G26" s="8"/>
      <c r="H26" s="8" t="s">
        <v>85</v>
      </c>
      <c r="I26" s="8">
        <v>571</v>
      </c>
      <c r="J26" s="8">
        <v>547</v>
      </c>
      <c r="K26" s="9"/>
      <c r="L26" s="8"/>
      <c r="M26" s="1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6" t="s">
        <v>108</v>
      </c>
      <c r="B27" s="152"/>
      <c r="C27" s="152"/>
      <c r="D27" s="152"/>
      <c r="E27" s="8"/>
      <c r="F27" s="8"/>
      <c r="G27" s="8"/>
      <c r="H27" s="8"/>
      <c r="I27" s="8"/>
      <c r="J27" s="8"/>
      <c r="K27" s="9" t="s">
        <v>85</v>
      </c>
      <c r="L27" s="8">
        <v>524</v>
      </c>
      <c r="M27" s="17">
        <v>474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6" t="s">
        <v>109</v>
      </c>
      <c r="B28" s="152"/>
      <c r="C28" s="152"/>
      <c r="D28" s="152"/>
      <c r="E28" s="8"/>
      <c r="F28" s="8"/>
      <c r="G28" s="8"/>
      <c r="H28" s="8"/>
      <c r="I28" s="8"/>
      <c r="J28" s="8"/>
      <c r="K28" s="9" t="s">
        <v>122</v>
      </c>
      <c r="L28" s="8"/>
      <c r="M28" s="1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6" t="s">
        <v>110</v>
      </c>
      <c r="B29" s="152"/>
      <c r="C29" s="152"/>
      <c r="D29" s="152"/>
      <c r="E29" s="8"/>
      <c r="F29" s="8"/>
      <c r="G29" s="8"/>
      <c r="H29" s="8"/>
      <c r="I29" s="8"/>
      <c r="J29" s="8"/>
      <c r="K29" s="9" t="s">
        <v>122</v>
      </c>
      <c r="L29" s="8"/>
      <c r="M29" s="1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6" t="s">
        <v>111</v>
      </c>
      <c r="B30" s="152"/>
      <c r="C30" s="152"/>
      <c r="D30" s="152"/>
      <c r="E30" s="8"/>
      <c r="F30" s="8"/>
      <c r="G30" s="8"/>
      <c r="H30" s="8"/>
      <c r="I30" s="8"/>
      <c r="J30" s="8"/>
      <c r="K30" s="9" t="s">
        <v>85</v>
      </c>
      <c r="L30" s="8">
        <v>660</v>
      </c>
      <c r="M30" s="17">
        <v>600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6" t="s">
        <v>112</v>
      </c>
      <c r="B31" s="152"/>
      <c r="C31" s="152"/>
      <c r="D31" s="152"/>
      <c r="E31" s="8"/>
      <c r="F31" s="8"/>
      <c r="G31" s="8"/>
      <c r="H31" s="8"/>
      <c r="I31" s="8"/>
      <c r="J31" s="8"/>
      <c r="K31" s="9" t="s">
        <v>85</v>
      </c>
      <c r="L31" s="8">
        <v>629</v>
      </c>
      <c r="M31" s="17">
        <v>570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6" t="s">
        <v>113</v>
      </c>
      <c r="B32" s="152"/>
      <c r="C32" s="152"/>
      <c r="D32" s="152"/>
      <c r="E32" s="8"/>
      <c r="F32" s="8"/>
      <c r="G32" s="8"/>
      <c r="H32" s="8"/>
      <c r="I32" s="8"/>
      <c r="J32" s="8"/>
      <c r="K32" s="9" t="s">
        <v>85</v>
      </c>
      <c r="L32" s="8">
        <v>596</v>
      </c>
      <c r="M32" s="17">
        <v>538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54" t="s">
        <v>114</v>
      </c>
      <c r="B33" s="152"/>
      <c r="C33" s="152"/>
      <c r="D33" s="152"/>
      <c r="E33" s="8"/>
      <c r="F33" s="8"/>
      <c r="G33" s="8"/>
      <c r="H33" s="8"/>
      <c r="I33" s="8"/>
      <c r="J33" s="8"/>
      <c r="K33" s="9" t="s">
        <v>85</v>
      </c>
      <c r="L33" s="8">
        <v>581</v>
      </c>
      <c r="M33" s="17">
        <v>518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6" t="s">
        <v>86</v>
      </c>
      <c r="E34" s="8" t="s">
        <v>85</v>
      </c>
      <c r="F34" s="151">
        <v>643</v>
      </c>
      <c r="G34" s="8">
        <v>603</v>
      </c>
      <c r="H34" s="8"/>
      <c r="I34" s="8"/>
      <c r="J34" s="8"/>
      <c r="K34" s="9"/>
      <c r="L34" s="8"/>
      <c r="M34" s="1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6" t="s">
        <v>88</v>
      </c>
      <c r="E35" s="8">
        <v>541</v>
      </c>
      <c r="F35" s="8">
        <v>620</v>
      </c>
      <c r="G35" s="8">
        <v>576</v>
      </c>
      <c r="H35" s="8"/>
      <c r="I35" s="8"/>
      <c r="J35" s="8"/>
      <c r="K35" s="9"/>
      <c r="L35" s="8"/>
      <c r="M35" s="1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6" t="s">
        <v>92</v>
      </c>
      <c r="B36" s="8"/>
      <c r="C36" s="8"/>
      <c r="D36" s="8"/>
      <c r="E36" s="8" t="s">
        <v>85</v>
      </c>
      <c r="F36" s="8">
        <v>600</v>
      </c>
      <c r="G36" s="8">
        <v>538</v>
      </c>
      <c r="H36" s="8"/>
      <c r="I36" s="8"/>
      <c r="J36" s="8"/>
      <c r="K36" s="9"/>
      <c r="L36" s="8"/>
      <c r="M36" s="1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7" t="s">
        <v>93</v>
      </c>
      <c r="E37" s="7" t="s">
        <v>85</v>
      </c>
      <c r="F37" s="7">
        <v>580</v>
      </c>
      <c r="G37" s="7">
        <v>534</v>
      </c>
    </row>
    <row r="38" spans="1:26" ht="12.75" customHeight="1" x14ac:dyDescent="0.2">
      <c r="A38" s="153" t="s">
        <v>101</v>
      </c>
      <c r="B38" s="152"/>
      <c r="C38" s="152"/>
      <c r="D38" s="152"/>
      <c r="E38" s="152"/>
      <c r="F38" s="152"/>
      <c r="G38" s="152"/>
      <c r="H38" s="152" t="s">
        <v>85</v>
      </c>
      <c r="I38" s="152">
        <v>533</v>
      </c>
      <c r="J38" s="152">
        <v>514</v>
      </c>
      <c r="K38" s="152"/>
      <c r="L38" s="152"/>
      <c r="M38" s="1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53" t="s">
        <v>102</v>
      </c>
      <c r="B39" s="152"/>
      <c r="C39" s="152"/>
      <c r="D39" s="152"/>
      <c r="E39" s="152"/>
      <c r="F39" s="152"/>
      <c r="G39" s="152"/>
      <c r="H39" s="152">
        <v>576</v>
      </c>
      <c r="I39" s="152">
        <v>594</v>
      </c>
      <c r="J39" s="152">
        <v>563</v>
      </c>
      <c r="K39" s="152"/>
      <c r="L39" s="152"/>
      <c r="M39" s="1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53" t="s">
        <v>103</v>
      </c>
      <c r="B40" s="152"/>
      <c r="C40" s="152"/>
      <c r="D40" s="152"/>
      <c r="E40" s="152"/>
      <c r="F40" s="152"/>
      <c r="G40" s="152"/>
      <c r="H40" s="152" t="s">
        <v>85</v>
      </c>
      <c r="I40" s="152">
        <v>582</v>
      </c>
      <c r="J40" s="152">
        <v>564</v>
      </c>
      <c r="K40" s="152"/>
      <c r="L40" s="152"/>
      <c r="M40" s="1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7" t="s">
        <v>104</v>
      </c>
      <c r="H41" s="7" t="s">
        <v>85</v>
      </c>
      <c r="I41" s="7">
        <v>633</v>
      </c>
      <c r="J41" s="7">
        <v>598</v>
      </c>
    </row>
    <row r="42" spans="1:26" ht="15" customHeight="1" x14ac:dyDescent="0.2">
      <c r="A42" s="7" t="s">
        <v>105</v>
      </c>
      <c r="H42" s="7">
        <v>601</v>
      </c>
      <c r="I42" s="7">
        <v>623</v>
      </c>
      <c r="J42" s="7">
        <v>582</v>
      </c>
    </row>
    <row r="43" spans="1:26" ht="15" customHeight="1" x14ac:dyDescent="0.2">
      <c r="A43" s="7" t="s">
        <v>106</v>
      </c>
      <c r="H43" s="7" t="s">
        <v>85</v>
      </c>
      <c r="I43" s="7">
        <v>594</v>
      </c>
      <c r="J43" s="7">
        <v>556</v>
      </c>
    </row>
    <row r="44" spans="1:26" ht="15" customHeight="1" x14ac:dyDescent="0.2">
      <c r="A44" s="7" t="s">
        <v>107</v>
      </c>
      <c r="H44" s="7" t="s">
        <v>85</v>
      </c>
      <c r="I44" s="7">
        <v>579</v>
      </c>
      <c r="J44" s="7">
        <v>542</v>
      </c>
    </row>
    <row r="45" spans="1:26" ht="15" customHeight="1" x14ac:dyDescent="0.2">
      <c r="A45" s="7" t="s">
        <v>115</v>
      </c>
      <c r="K45" s="7" t="s">
        <v>85</v>
      </c>
      <c r="L45" s="7">
        <v>532</v>
      </c>
      <c r="M45" s="7">
        <v>500</v>
      </c>
    </row>
    <row r="46" spans="1:26" ht="15" customHeight="1" x14ac:dyDescent="0.2">
      <c r="A46" s="7" t="s">
        <v>116</v>
      </c>
      <c r="K46" s="7" t="s">
        <v>122</v>
      </c>
    </row>
    <row r="47" spans="1:26" ht="15" customHeight="1" x14ac:dyDescent="0.2">
      <c r="A47" s="7" t="s">
        <v>117</v>
      </c>
      <c r="K47" s="7" t="s">
        <v>122</v>
      </c>
    </row>
    <row r="48" spans="1:26" ht="15" customHeight="1" x14ac:dyDescent="0.2">
      <c r="A48" s="7" t="s">
        <v>118</v>
      </c>
      <c r="K48" s="7" t="s">
        <v>85</v>
      </c>
      <c r="L48" s="7">
        <v>643</v>
      </c>
      <c r="M48" s="7">
        <v>608</v>
      </c>
    </row>
    <row r="49" spans="1:26" ht="15" customHeight="1" x14ac:dyDescent="0.2">
      <c r="A49" s="7" t="s">
        <v>119</v>
      </c>
      <c r="K49" s="7" t="s">
        <v>85</v>
      </c>
      <c r="L49" s="7">
        <v>626</v>
      </c>
      <c r="M49" s="7">
        <v>585</v>
      </c>
    </row>
    <row r="50" spans="1:26" ht="15" customHeight="1" x14ac:dyDescent="0.2">
      <c r="A50" s="7" t="s">
        <v>120</v>
      </c>
      <c r="K50" s="7" t="s">
        <v>85</v>
      </c>
      <c r="L50" s="7">
        <v>597</v>
      </c>
      <c r="M50" s="7">
        <v>555</v>
      </c>
    </row>
    <row r="51" spans="1:26" ht="15" customHeight="1" x14ac:dyDescent="0.2">
      <c r="A51" s="7" t="s">
        <v>121</v>
      </c>
      <c r="K51" s="7" t="s">
        <v>85</v>
      </c>
      <c r="L51" s="7">
        <v>580</v>
      </c>
      <c r="M51" s="7">
        <v>540</v>
      </c>
    </row>
    <row r="52" spans="1:26" ht="12.75" customHeight="1" thickBot="1" x14ac:dyDescent="0.25">
      <c r="A52" s="18" t="s">
        <v>22</v>
      </c>
      <c r="B52" s="19">
        <f>SUM(B16:B36)</f>
        <v>0</v>
      </c>
      <c r="C52" s="19">
        <f>SUM(C16:C36)</f>
        <v>0</v>
      </c>
      <c r="D52" s="19">
        <f>SUM(D16:D36)</f>
        <v>0</v>
      </c>
      <c r="E52" s="19">
        <f>SUM(E16:E36)</f>
        <v>1082</v>
      </c>
      <c r="F52" s="19">
        <f>SUM(F16:F40)</f>
        <v>4913</v>
      </c>
      <c r="G52" s="19">
        <f>SUM(G16:G40)</f>
        <v>4533</v>
      </c>
      <c r="H52" s="19">
        <f>SUM(H16:H36)</f>
        <v>1143</v>
      </c>
      <c r="I52" s="19">
        <f>SUM(I16:I36)</f>
        <v>4143</v>
      </c>
      <c r="J52" s="20">
        <f>SUM(J16:J36)</f>
        <v>3912</v>
      </c>
      <c r="K52" s="19">
        <f>SUM(K16:K36)</f>
        <v>0</v>
      </c>
      <c r="L52" s="19">
        <f>SUM(L16:L36)</f>
        <v>2990</v>
      </c>
      <c r="M52" s="21">
        <f>SUM(M16:M36)</f>
        <v>2700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">
      <c r="A55" s="22"/>
      <c r="B55" s="135" t="s">
        <v>23</v>
      </c>
      <c r="C55" s="136"/>
      <c r="D55" s="136"/>
      <c r="E55" s="136"/>
      <c r="F55" s="136"/>
      <c r="G55" s="136"/>
      <c r="H55" s="136"/>
      <c r="I55" s="136"/>
      <c r="J55" s="136"/>
      <c r="K55" s="137"/>
      <c r="L55" s="137"/>
      <c r="M55" s="13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35"/>
      <c r="B56" s="147" t="s">
        <v>24</v>
      </c>
      <c r="C56" s="148"/>
      <c r="D56" s="148"/>
      <c r="E56" s="148"/>
      <c r="F56" s="148"/>
      <c r="G56" s="148"/>
      <c r="H56" s="148"/>
      <c r="I56" s="148"/>
      <c r="J56" s="148"/>
      <c r="K56" s="149"/>
      <c r="L56" s="149"/>
      <c r="M56" s="15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3"/>
      <c r="B57" s="133" t="s">
        <v>61</v>
      </c>
      <c r="C57" s="133"/>
      <c r="D57" s="133"/>
      <c r="E57" s="133" t="s">
        <v>60</v>
      </c>
      <c r="F57" s="133"/>
      <c r="G57" s="133"/>
      <c r="H57" s="133" t="s">
        <v>49</v>
      </c>
      <c r="I57" s="133"/>
      <c r="J57" s="133"/>
      <c r="K57" s="133" t="s">
        <v>48</v>
      </c>
      <c r="L57" s="133"/>
      <c r="M57" s="13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4" t="s">
        <v>25</v>
      </c>
      <c r="B58" s="5" t="s">
        <v>26</v>
      </c>
      <c r="C58" s="5" t="s">
        <v>27</v>
      </c>
      <c r="D58" s="5" t="s">
        <v>28</v>
      </c>
      <c r="E58" s="5" t="s">
        <v>26</v>
      </c>
      <c r="F58" s="5" t="s">
        <v>27</v>
      </c>
      <c r="G58" s="5" t="s">
        <v>28</v>
      </c>
      <c r="H58" s="5" t="s">
        <v>26</v>
      </c>
      <c r="I58" s="5" t="s">
        <v>27</v>
      </c>
      <c r="J58" s="5" t="s">
        <v>28</v>
      </c>
      <c r="K58" s="6" t="s">
        <v>26</v>
      </c>
      <c r="L58" s="5" t="s">
        <v>27</v>
      </c>
      <c r="M58" s="15" t="s">
        <v>28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6" t="s">
        <v>64</v>
      </c>
      <c r="B59" s="2"/>
      <c r="C59" s="2">
        <v>21</v>
      </c>
      <c r="D59" s="4"/>
      <c r="E59" s="2">
        <v>23</v>
      </c>
      <c r="F59" s="2">
        <v>20</v>
      </c>
      <c r="G59" s="4"/>
      <c r="H59" s="2">
        <v>11</v>
      </c>
      <c r="I59" s="2">
        <v>11</v>
      </c>
      <c r="J59" s="4"/>
      <c r="K59" s="3">
        <v>33</v>
      </c>
      <c r="L59" s="2">
        <v>26</v>
      </c>
      <c r="M59" s="2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6" t="s">
        <v>65</v>
      </c>
      <c r="B60" s="2"/>
      <c r="C60" s="2">
        <v>14</v>
      </c>
      <c r="D60" s="4"/>
      <c r="E60" s="2">
        <v>25</v>
      </c>
      <c r="F60" s="2">
        <v>24</v>
      </c>
      <c r="G60" s="4" t="s">
        <v>63</v>
      </c>
      <c r="H60" s="2">
        <v>23</v>
      </c>
      <c r="I60" s="2">
        <v>14</v>
      </c>
      <c r="J60" s="4"/>
      <c r="K60" s="3">
        <v>28</v>
      </c>
      <c r="L60" s="2">
        <v>36</v>
      </c>
      <c r="M60" s="2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6" t="s">
        <v>66</v>
      </c>
      <c r="B61" s="2"/>
      <c r="C61" s="2">
        <v>14</v>
      </c>
      <c r="D61" s="4"/>
      <c r="E61" s="2">
        <v>10</v>
      </c>
      <c r="F61" s="2">
        <v>7</v>
      </c>
      <c r="G61" s="4"/>
      <c r="H61" s="2">
        <v>23</v>
      </c>
      <c r="I61" s="2">
        <v>22</v>
      </c>
      <c r="J61" s="4"/>
      <c r="K61" s="3">
        <v>22</v>
      </c>
      <c r="L61" s="2">
        <v>18</v>
      </c>
      <c r="M61" s="2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6" t="s">
        <v>67</v>
      </c>
      <c r="B62" s="2"/>
      <c r="C62" s="2">
        <v>48</v>
      </c>
      <c r="D62" s="4"/>
      <c r="E62" s="2">
        <v>54</v>
      </c>
      <c r="F62" s="2">
        <v>45</v>
      </c>
      <c r="G62" s="4"/>
      <c r="H62" s="2">
        <v>57</v>
      </c>
      <c r="I62" s="2">
        <v>47</v>
      </c>
      <c r="J62" s="4"/>
      <c r="K62" s="3">
        <v>46</v>
      </c>
      <c r="L62" s="2">
        <v>39</v>
      </c>
      <c r="M62" s="2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6" t="s">
        <v>68</v>
      </c>
      <c r="B63" s="2"/>
      <c r="C63" s="2">
        <v>5</v>
      </c>
      <c r="D63" s="4"/>
      <c r="E63" s="2"/>
      <c r="F63" s="2">
        <v>5</v>
      </c>
      <c r="G63" s="4"/>
      <c r="H63" s="2">
        <v>12</v>
      </c>
      <c r="I63" s="2">
        <v>7</v>
      </c>
      <c r="J63" s="4"/>
      <c r="K63" s="3">
        <v>3</v>
      </c>
      <c r="L63" s="2">
        <v>3</v>
      </c>
      <c r="M63" s="2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6" t="s">
        <v>69</v>
      </c>
      <c r="B64" s="2"/>
      <c r="C64" s="2">
        <v>99</v>
      </c>
      <c r="D64" s="4"/>
      <c r="E64" s="2">
        <v>81</v>
      </c>
      <c r="F64" s="2">
        <v>79</v>
      </c>
      <c r="G64" s="4"/>
      <c r="H64" s="2">
        <v>107</v>
      </c>
      <c r="I64" s="2">
        <v>98</v>
      </c>
      <c r="J64" s="4"/>
      <c r="K64" s="3">
        <v>91</v>
      </c>
      <c r="L64" s="2">
        <v>82</v>
      </c>
      <c r="M64" s="2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6" t="s">
        <v>70</v>
      </c>
      <c r="B65" s="2"/>
      <c r="C65" s="2">
        <v>60</v>
      </c>
      <c r="D65" s="4"/>
      <c r="E65" s="2">
        <v>72</v>
      </c>
      <c r="F65" s="2">
        <v>64</v>
      </c>
      <c r="G65" s="4"/>
      <c r="H65" s="2">
        <v>69</v>
      </c>
      <c r="I65" s="2">
        <v>38</v>
      </c>
      <c r="J65" s="4"/>
      <c r="K65" s="3">
        <v>77</v>
      </c>
      <c r="L65" s="2">
        <v>67</v>
      </c>
      <c r="M65" s="2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79" t="s">
        <v>83</v>
      </c>
      <c r="B66" s="80"/>
      <c r="C66" s="80">
        <v>14</v>
      </c>
      <c r="D66" s="81"/>
      <c r="E66" s="80">
        <v>60</v>
      </c>
      <c r="F66" s="80">
        <v>51</v>
      </c>
      <c r="G66" s="81"/>
      <c r="H66" s="80">
        <v>56</v>
      </c>
      <c r="I66" s="80">
        <v>47</v>
      </c>
      <c r="J66" s="81"/>
      <c r="K66" s="127" t="s">
        <v>84</v>
      </c>
      <c r="L66" s="128"/>
      <c r="M66" s="8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79" t="s">
        <v>71</v>
      </c>
      <c r="B67" s="80"/>
      <c r="C67" s="80">
        <v>34</v>
      </c>
      <c r="D67" s="81"/>
      <c r="E67" s="80">
        <v>73</v>
      </c>
      <c r="F67" s="80">
        <v>53</v>
      </c>
      <c r="G67" s="81"/>
      <c r="H67" s="80">
        <v>74</v>
      </c>
      <c r="I67" s="80">
        <v>57</v>
      </c>
      <c r="J67" s="81"/>
      <c r="K67" s="82">
        <v>43</v>
      </c>
      <c r="L67" s="80">
        <v>39</v>
      </c>
      <c r="M67" s="8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84" t="s">
        <v>72</v>
      </c>
      <c r="B68" s="85"/>
      <c r="C68" s="85">
        <v>12</v>
      </c>
      <c r="D68" s="86"/>
      <c r="E68" s="85">
        <v>13</v>
      </c>
      <c r="F68" s="85">
        <v>8</v>
      </c>
      <c r="G68" s="86"/>
      <c r="H68" s="85">
        <v>7</v>
      </c>
      <c r="I68" s="85">
        <v>2</v>
      </c>
      <c r="J68" s="86"/>
      <c r="K68" s="85">
        <v>9</v>
      </c>
      <c r="L68" s="85">
        <v>9</v>
      </c>
      <c r="M68" s="86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84" t="s">
        <v>73</v>
      </c>
      <c r="B69" s="85"/>
      <c r="C69" s="85">
        <v>13</v>
      </c>
      <c r="D69" s="86"/>
      <c r="E69" s="85">
        <v>28</v>
      </c>
      <c r="F69" s="85">
        <v>16</v>
      </c>
      <c r="G69" s="86"/>
      <c r="H69" s="85">
        <v>19</v>
      </c>
      <c r="I69" s="85">
        <v>15</v>
      </c>
      <c r="J69" s="86"/>
      <c r="K69" s="85">
        <v>44</v>
      </c>
      <c r="L69" s="85">
        <v>35</v>
      </c>
      <c r="M69" s="86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84" t="s">
        <v>74</v>
      </c>
      <c r="B70" s="85"/>
      <c r="C70" s="85">
        <v>17</v>
      </c>
      <c r="D70" s="86"/>
      <c r="E70" s="85">
        <v>27</v>
      </c>
      <c r="F70" s="85">
        <v>15</v>
      </c>
      <c r="G70" s="86"/>
      <c r="H70" s="85">
        <v>19</v>
      </c>
      <c r="I70" s="85">
        <v>16</v>
      </c>
      <c r="J70" s="86"/>
      <c r="K70" s="85">
        <v>43</v>
      </c>
      <c r="L70" s="85">
        <v>40</v>
      </c>
      <c r="M70" s="8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84" t="s">
        <v>75</v>
      </c>
      <c r="B71" s="85"/>
      <c r="C71" s="85">
        <v>16</v>
      </c>
      <c r="D71" s="86"/>
      <c r="E71" s="85">
        <v>22</v>
      </c>
      <c r="F71" s="85">
        <v>17</v>
      </c>
      <c r="G71" s="86"/>
      <c r="H71" s="85">
        <v>21</v>
      </c>
      <c r="I71" s="85">
        <v>18</v>
      </c>
      <c r="J71" s="86"/>
      <c r="K71" s="85">
        <v>17</v>
      </c>
      <c r="L71" s="85">
        <v>14</v>
      </c>
      <c r="M71" s="8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84" t="s">
        <v>76</v>
      </c>
      <c r="B72" s="125" t="s">
        <v>84</v>
      </c>
      <c r="C72" s="126"/>
      <c r="D72" s="86"/>
      <c r="E72" s="85">
        <v>9</v>
      </c>
      <c r="F72" s="85">
        <v>9</v>
      </c>
      <c r="G72" s="86"/>
      <c r="H72" s="87">
        <v>13</v>
      </c>
      <c r="I72" s="88">
        <v>13</v>
      </c>
      <c r="J72" s="86"/>
      <c r="K72" s="85">
        <v>10</v>
      </c>
      <c r="L72" s="85">
        <v>10</v>
      </c>
      <c r="M72" s="8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84" t="s">
        <v>77</v>
      </c>
      <c r="B73" s="85"/>
      <c r="C73" s="85">
        <v>18</v>
      </c>
      <c r="D73" s="86"/>
      <c r="E73" s="85">
        <v>32</v>
      </c>
      <c r="F73" s="85">
        <v>32</v>
      </c>
      <c r="G73" s="86"/>
      <c r="H73" s="85">
        <v>25</v>
      </c>
      <c r="I73" s="85">
        <v>25</v>
      </c>
      <c r="J73" s="86"/>
      <c r="K73" s="85">
        <v>13</v>
      </c>
      <c r="L73" s="85">
        <v>13</v>
      </c>
      <c r="M73" s="8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84" t="s">
        <v>78</v>
      </c>
      <c r="B74" s="85"/>
      <c r="C74" s="85">
        <v>49</v>
      </c>
      <c r="D74" s="86"/>
      <c r="E74" s="85">
        <v>47</v>
      </c>
      <c r="F74" s="85">
        <v>34</v>
      </c>
      <c r="G74" s="86"/>
      <c r="H74" s="85">
        <v>30</v>
      </c>
      <c r="I74" s="85">
        <v>20</v>
      </c>
      <c r="J74" s="86"/>
      <c r="K74" s="85">
        <v>62</v>
      </c>
      <c r="L74" s="85">
        <v>41</v>
      </c>
      <c r="M74" s="8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84" t="s">
        <v>79</v>
      </c>
      <c r="B75" s="85"/>
      <c r="C75" s="85">
        <v>13</v>
      </c>
      <c r="D75" s="86"/>
      <c r="E75" s="85">
        <v>7</v>
      </c>
      <c r="F75" s="85">
        <v>6</v>
      </c>
      <c r="G75" s="86"/>
      <c r="H75" s="85">
        <v>16</v>
      </c>
      <c r="I75" s="85">
        <v>13</v>
      </c>
      <c r="J75" s="86"/>
      <c r="K75" s="85">
        <v>17</v>
      </c>
      <c r="L75" s="85">
        <v>3</v>
      </c>
      <c r="M75" s="8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84" t="s">
        <v>80</v>
      </c>
      <c r="B76" s="85"/>
      <c r="C76" s="85">
        <v>12</v>
      </c>
      <c r="D76" s="86"/>
      <c r="E76" s="85">
        <v>33</v>
      </c>
      <c r="F76" s="85">
        <v>25</v>
      </c>
      <c r="G76" s="86"/>
      <c r="H76" s="85">
        <v>29</v>
      </c>
      <c r="I76" s="85">
        <v>27</v>
      </c>
      <c r="J76" s="86"/>
      <c r="K76" s="85">
        <v>55</v>
      </c>
      <c r="L76" s="85">
        <v>47</v>
      </c>
      <c r="M76" s="8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84" t="s">
        <v>81</v>
      </c>
      <c r="B77" s="85"/>
      <c r="C77" s="85">
        <v>28</v>
      </c>
      <c r="D77" s="86"/>
      <c r="E77" s="85">
        <v>43</v>
      </c>
      <c r="F77" s="85">
        <v>35</v>
      </c>
      <c r="G77" s="86"/>
      <c r="H77" s="85">
        <v>26</v>
      </c>
      <c r="I77" s="85">
        <v>13</v>
      </c>
      <c r="J77" s="86"/>
      <c r="K77" s="85">
        <v>71</v>
      </c>
      <c r="L77" s="85">
        <v>51</v>
      </c>
      <c r="M77" s="8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84" t="s">
        <v>82</v>
      </c>
      <c r="B78" s="85"/>
      <c r="C78" s="85">
        <v>43</v>
      </c>
      <c r="D78" s="86"/>
      <c r="E78" s="85">
        <v>38</v>
      </c>
      <c r="F78" s="85">
        <v>26</v>
      </c>
      <c r="G78" s="86"/>
      <c r="H78" s="85">
        <v>55</v>
      </c>
      <c r="I78" s="85">
        <v>45</v>
      </c>
      <c r="J78" s="86"/>
      <c r="K78" s="85">
        <v>26</v>
      </c>
      <c r="L78" s="85">
        <v>17</v>
      </c>
      <c r="M78" s="8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5" customHeight="1" thickBo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" customHeight="1" x14ac:dyDescent="0.2">
      <c r="A81" s="24"/>
      <c r="B81" s="129" t="s">
        <v>36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3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36"/>
      <c r="B82" s="131" t="s">
        <v>37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29"/>
      <c r="B83" s="133" t="s">
        <v>61</v>
      </c>
      <c r="C83" s="133"/>
      <c r="D83" s="133"/>
      <c r="E83" s="133" t="s">
        <v>60</v>
      </c>
      <c r="F83" s="133"/>
      <c r="G83" s="133"/>
      <c r="H83" s="133" t="s">
        <v>49</v>
      </c>
      <c r="I83" s="133"/>
      <c r="J83" s="133"/>
      <c r="K83" s="133" t="s">
        <v>48</v>
      </c>
      <c r="L83" s="133"/>
      <c r="M83" s="13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29"/>
      <c r="B84" s="10" t="s">
        <v>3</v>
      </c>
      <c r="C84" s="10" t="s">
        <v>4</v>
      </c>
      <c r="D84" s="10" t="s">
        <v>18</v>
      </c>
      <c r="E84" s="10" t="s">
        <v>3</v>
      </c>
      <c r="F84" s="10" t="s">
        <v>4</v>
      </c>
      <c r="G84" s="10" t="s">
        <v>18</v>
      </c>
      <c r="H84" s="10" t="s">
        <v>3</v>
      </c>
      <c r="I84" s="10" t="s">
        <v>4</v>
      </c>
      <c r="J84" s="10" t="s">
        <v>18</v>
      </c>
      <c r="K84" s="10" t="s">
        <v>3</v>
      </c>
      <c r="L84" s="10" t="s">
        <v>4</v>
      </c>
      <c r="M84" s="25" t="s">
        <v>18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30" t="s">
        <v>38</v>
      </c>
      <c r="B85" s="78">
        <v>94.5</v>
      </c>
      <c r="C85" s="78">
        <v>87.5</v>
      </c>
      <c r="D85" s="11"/>
      <c r="E85" s="11">
        <v>95</v>
      </c>
      <c r="F85" s="11">
        <v>90.4</v>
      </c>
      <c r="G85" s="11"/>
      <c r="H85" s="76">
        <v>0.95</v>
      </c>
      <c r="I85" s="77">
        <v>0.90400000000000003</v>
      </c>
      <c r="J85" s="77"/>
      <c r="K85" s="11">
        <v>94.9</v>
      </c>
      <c r="L85" s="11">
        <v>89.1</v>
      </c>
      <c r="M85" s="26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31" t="s">
        <v>39</v>
      </c>
      <c r="B86" s="78">
        <v>79.599999999999994</v>
      </c>
      <c r="C86" s="78">
        <v>70.2</v>
      </c>
      <c r="D86" s="11"/>
      <c r="E86" s="11">
        <v>80.400000000000006</v>
      </c>
      <c r="F86" s="11">
        <v>70.3</v>
      </c>
      <c r="G86" s="11"/>
      <c r="H86" s="77">
        <v>0.81200000000000006</v>
      </c>
      <c r="I86" s="11">
        <v>75.3</v>
      </c>
      <c r="J86" s="11"/>
      <c r="K86" s="11">
        <v>86.4</v>
      </c>
      <c r="L86" s="11">
        <v>73.599999999999994</v>
      </c>
      <c r="M86" s="26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31" t="s">
        <v>40</v>
      </c>
      <c r="B87" s="78">
        <v>86.3</v>
      </c>
      <c r="C87" s="78">
        <v>72.599999999999994</v>
      </c>
      <c r="D87" s="11"/>
      <c r="E87" s="11">
        <v>94.4</v>
      </c>
      <c r="F87" s="11">
        <v>71.7</v>
      </c>
      <c r="G87" s="11"/>
      <c r="H87" s="77">
        <v>0.876</v>
      </c>
      <c r="I87" s="11">
        <v>76.2</v>
      </c>
      <c r="J87" s="11"/>
      <c r="K87" s="11">
        <v>86.1</v>
      </c>
      <c r="L87" s="11">
        <v>75.8</v>
      </c>
      <c r="M87" s="26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31" t="s">
        <v>41</v>
      </c>
      <c r="B88" s="78">
        <v>93.8</v>
      </c>
      <c r="C88" s="78">
        <v>84.7</v>
      </c>
      <c r="D88" s="11"/>
      <c r="E88" s="11">
        <v>96.4</v>
      </c>
      <c r="F88" s="11">
        <v>84.2</v>
      </c>
      <c r="G88" s="11"/>
      <c r="H88" s="77">
        <v>0.94199999999999995</v>
      </c>
      <c r="I88" s="11">
        <v>88</v>
      </c>
      <c r="J88" s="11"/>
      <c r="K88" s="11">
        <v>94.1</v>
      </c>
      <c r="L88" s="11">
        <v>86.7</v>
      </c>
      <c r="M88" s="26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31" t="s">
        <v>42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2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thickBot="1" x14ac:dyDescent="0.25">
      <c r="A90" s="32" t="s">
        <v>42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</sheetData>
  <mergeCells count="26">
    <mergeCell ref="B55:M55"/>
    <mergeCell ref="B56:M56"/>
    <mergeCell ref="B57:D57"/>
    <mergeCell ref="E57:G57"/>
    <mergeCell ref="H57:J57"/>
    <mergeCell ref="K57:M57"/>
    <mergeCell ref="B12:M12"/>
    <mergeCell ref="B13:M13"/>
    <mergeCell ref="B14:D14"/>
    <mergeCell ref="E14:G14"/>
    <mergeCell ref="H14:J14"/>
    <mergeCell ref="K14:M14"/>
    <mergeCell ref="B1:M1"/>
    <mergeCell ref="B2:M2"/>
    <mergeCell ref="B3:D3"/>
    <mergeCell ref="E3:G3"/>
    <mergeCell ref="H3:J3"/>
    <mergeCell ref="K3:M3"/>
    <mergeCell ref="B72:C72"/>
    <mergeCell ref="K66:L66"/>
    <mergeCell ref="B81:M81"/>
    <mergeCell ref="B82:M82"/>
    <mergeCell ref="B83:D83"/>
    <mergeCell ref="E83:G83"/>
    <mergeCell ref="H83:J83"/>
    <mergeCell ref="K83:M83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Pre-K-2</vt:lpstr>
      <vt:lpstr>3-5</vt:lpstr>
      <vt:lpstr>6-8</vt:lpstr>
      <vt:lpstr>9-11</vt:lpstr>
      <vt:lpstr>Senior-Grad.</vt:lpstr>
      <vt:lpstr>'3-5'!Print_Area</vt:lpstr>
      <vt:lpstr>'6-8'!Print_Area</vt:lpstr>
      <vt:lpstr>'9-11'!Print_Area</vt:lpstr>
      <vt:lpstr>'Senior-Grad.'!Print_Area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Buckley</dc:creator>
  <cp:lastModifiedBy>Microsoft Office User</cp:lastModifiedBy>
  <cp:lastPrinted>2024-01-03T00:00:12Z</cp:lastPrinted>
  <dcterms:created xsi:type="dcterms:W3CDTF">2018-02-27T14:25:00Z</dcterms:created>
  <dcterms:modified xsi:type="dcterms:W3CDTF">2024-02-15T17:40:41Z</dcterms:modified>
</cp:coreProperties>
</file>